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idav\Documents\Erasmus\Thesis\Documenten om in te leveren\"/>
    </mc:Choice>
  </mc:AlternateContent>
  <xr:revisionPtr revIDLastSave="0" documentId="13_ncr:1_{1A8A91DB-288A-4779-A185-7B8DE637AF04}" xr6:coauthVersionLast="47" xr6:coauthVersionMax="47" xr10:uidLastSave="{00000000-0000-0000-0000-000000000000}"/>
  <bookViews>
    <workbookView xWindow="-110" yWindow="-110" windowWidth="19420" windowHeight="11500" tabRatio="500" firstSheet="1" activeTab="4" xr2:uid="{00000000-000D-0000-FFFF-FFFF00000000}"/>
  </bookViews>
  <sheets>
    <sheet name="Results" sheetId="1" r:id="rId1"/>
    <sheet name="Per-patient costs" sheetId="2" r:id="rId2"/>
    <sheet name="BIA – base case" sheetId="3" r:id="rId3"/>
    <sheet name="Scenarios" sheetId="4" r:id="rId4"/>
    <sheet name="Sources" sheetId="5" r:id="rId5"/>
  </sheets>
  <definedNames>
    <definedName name="bc_impact_y1">'BIA – base case'!$B$30</definedName>
    <definedName name="bc_impact_y2">'BIA – base case'!$C$30</definedName>
    <definedName name="bc_impact_y3">'BIA – base case'!$D$30</definedName>
    <definedName name="bc_impact_y4">'BIA – base case'!$E$30</definedName>
    <definedName name="bc_impact_y5">'BIA – base case'!$F$30</definedName>
    <definedName name="bc_patcomp_y1">'BIA – base case'!$B$25</definedName>
    <definedName name="bc_patcomp_y2">'BIA – base case'!$C$25</definedName>
    <definedName name="bc_patcomp_y3">'BIA – base case'!$D$25</definedName>
    <definedName name="bc_patcomp_y4">'BIA – base case'!$E$25</definedName>
    <definedName name="bc_patcomp_y5">'BIA – base case'!$F$25</definedName>
    <definedName name="bc_patinav_y1">'BIA – base case'!$B$24</definedName>
    <definedName name="bc_patinav_y2">'BIA – base case'!$C$24</definedName>
    <definedName name="bc_patinav_y3">'BIA – base case'!$D$24</definedName>
    <definedName name="bc_patinav_y4">'BIA – base case'!$E$24</definedName>
    <definedName name="bc_patinav_y5">'BIA – base case'!$F$24</definedName>
    <definedName name="bc_uptake_y1">'BIA – base case'!$B$22</definedName>
    <definedName name="bc_uptake_y2">'BIA – base case'!$C$22</definedName>
    <definedName name="bc_uptake_y3">'BIA – base case'!$D$22</definedName>
    <definedName name="bc_uptake_y4">'BIA – base case'!$E$22</definedName>
    <definedName name="bc_uptake_y5">'BIA – base case'!$F$22</definedName>
    <definedName name="bc_withlist_y1">'BIA – base case'!$B$28</definedName>
    <definedName name="bc_withlist_y2">'BIA – base case'!$C$28</definedName>
    <definedName name="bc_withlist_y3">'BIA – base case'!$D$28</definedName>
    <definedName name="bc_withlist_y4">'BIA – base case'!$E$28</definedName>
    <definedName name="bc_withlist_y5">'BIA – base case'!$F$28</definedName>
    <definedName name="bc_without_y1">'BIA – base case'!$B$29</definedName>
    <definedName name="bc_without_y2">'BIA – base case'!$C$29</definedName>
    <definedName name="bc_without_y3">'BIA – base case'!$D$29</definedName>
    <definedName name="bc_without_y4">'BIA – base case'!$E$29</definedName>
    <definedName name="bc_without_y5">'BIA – base case'!$F$29</definedName>
    <definedName name="BIA_cumulative_access">'BIA – base case'!$B$40</definedName>
    <definedName name="BIA_cumulative_list">'BIA – base case'!$B$39</definedName>
    <definedName name="cost_comparator">'Per-patient costs'!$B$20</definedName>
    <definedName name="cost_inav_access">'Per-patient costs'!$C$19</definedName>
    <definedName name="cost_inav_list">'Per-patient costs'!$B$19</definedName>
    <definedName name="inav_list_minus_access">'BIA – base case'!$B$13</definedName>
    <definedName name="pop_eligible">'BIA – base case'!$B$6</definedName>
    <definedName name="pop_eligible_cell">'BIA – base case'!$B$6</definedName>
    <definedName name="price_inav_list">'BIA – base case'!$B$12</definedName>
    <definedName name="scen_access">Scenarios!$G$50</definedName>
    <definedName name="scen_base">Scenarios!$G$10</definedName>
    <definedName name="scen_pop_high">Scenarios!$G$26</definedName>
    <definedName name="scen_pop_low">Scenarios!$G$18</definedName>
    <definedName name="scen_up_high">Scenarios!$G$42</definedName>
    <definedName name="scen_up_low">Scenarios!$G$34</definedName>
    <definedName name="time_horizon">'BIA – base case'!$B$7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8" i="4" l="1"/>
  <c r="E49" i="4" s="1"/>
  <c r="D48" i="4"/>
  <c r="D49" i="4" s="1"/>
  <c r="C48" i="4"/>
  <c r="B48" i="4"/>
  <c r="F46" i="4"/>
  <c r="E46" i="4"/>
  <c r="D46" i="4"/>
  <c r="C46" i="4"/>
  <c r="C49" i="4" s="1"/>
  <c r="B46" i="4"/>
  <c r="B49" i="4" s="1"/>
  <c r="B40" i="4"/>
  <c r="B41" i="4" s="1"/>
  <c r="F38" i="4"/>
  <c r="F40" i="4" s="1"/>
  <c r="E38" i="4"/>
  <c r="E40" i="4" s="1"/>
  <c r="E42" i="4" s="1"/>
  <c r="D38" i="4"/>
  <c r="D40" i="4" s="1"/>
  <c r="C38" i="4"/>
  <c r="B38" i="4"/>
  <c r="F30" i="4"/>
  <c r="F32" i="4" s="1"/>
  <c r="E30" i="4"/>
  <c r="E32" i="4" s="1"/>
  <c r="D30" i="4"/>
  <c r="D32" i="4" s="1"/>
  <c r="C30" i="4"/>
  <c r="C32" i="4" s="1"/>
  <c r="B30" i="4"/>
  <c r="B32" i="4" s="1"/>
  <c r="B34" i="4" s="1"/>
  <c r="F24" i="4"/>
  <c r="F26" i="4" s="1"/>
  <c r="E24" i="4"/>
  <c r="E26" i="4" s="1"/>
  <c r="D24" i="4"/>
  <c r="D26" i="4" s="1"/>
  <c r="F22" i="4"/>
  <c r="F25" i="4" s="1"/>
  <c r="E22" i="4"/>
  <c r="E25" i="4" s="1"/>
  <c r="D22" i="4"/>
  <c r="C22" i="4"/>
  <c r="C24" i="4" s="1"/>
  <c r="B22" i="4"/>
  <c r="B24" i="4" s="1"/>
  <c r="E16" i="4"/>
  <c r="E17" i="4" s="1"/>
  <c r="D16" i="4"/>
  <c r="D17" i="4" s="1"/>
  <c r="C16" i="4"/>
  <c r="C18" i="4" s="1"/>
  <c r="B16" i="4"/>
  <c r="B18" i="4" s="1"/>
  <c r="F14" i="4"/>
  <c r="E14" i="4"/>
  <c r="D14" i="4"/>
  <c r="C14" i="4"/>
  <c r="C17" i="4" s="1"/>
  <c r="B14" i="4"/>
  <c r="B17" i="4" s="1"/>
  <c r="B8" i="4"/>
  <c r="B9" i="4" s="1"/>
  <c r="F6" i="4"/>
  <c r="F8" i="4" s="1"/>
  <c r="E6" i="4"/>
  <c r="E8" i="4" s="1"/>
  <c r="D6" i="4"/>
  <c r="D8" i="4" s="1"/>
  <c r="D10" i="4" s="1"/>
  <c r="C6" i="4"/>
  <c r="B6" i="4"/>
  <c r="F23" i="3"/>
  <c r="E23" i="3"/>
  <c r="D23" i="3"/>
  <c r="C23" i="3"/>
  <c r="B23" i="3"/>
  <c r="C15" i="2"/>
  <c r="B20" i="2" s="1"/>
  <c r="B15" i="2"/>
  <c r="B19" i="2" s="1"/>
  <c r="G10" i="2"/>
  <c r="F10" i="2"/>
  <c r="E10" i="2"/>
  <c r="D10" i="2"/>
  <c r="C10" i="2"/>
  <c r="B10" i="2"/>
  <c r="G11" i="1"/>
  <c r="F11" i="1"/>
  <c r="E11" i="1"/>
  <c r="D11" i="1"/>
  <c r="C11" i="1"/>
  <c r="G10" i="1"/>
  <c r="F10" i="1"/>
  <c r="E10" i="1"/>
  <c r="D10" i="1"/>
  <c r="C10" i="1"/>
  <c r="C34" i="4" l="1"/>
  <c r="C33" i="4"/>
  <c r="C9" i="4"/>
  <c r="D34" i="4"/>
  <c r="D33" i="4"/>
  <c r="D29" i="3"/>
  <c r="E15" i="1" s="1"/>
  <c r="E34" i="4"/>
  <c r="G34" i="4" s="1"/>
  <c r="E33" i="4"/>
  <c r="F49" i="4"/>
  <c r="E10" i="4"/>
  <c r="B26" i="4"/>
  <c r="B25" i="4"/>
  <c r="F34" i="4"/>
  <c r="F33" i="4"/>
  <c r="F41" i="4"/>
  <c r="F42" i="4"/>
  <c r="G18" i="4"/>
  <c r="C50" i="4"/>
  <c r="C26" i="4"/>
  <c r="C25" i="4"/>
  <c r="B10" i="4"/>
  <c r="C19" i="2"/>
  <c r="B50" i="4" s="1"/>
  <c r="B42" i="4"/>
  <c r="E18" i="4"/>
  <c r="B17" i="3"/>
  <c r="D18" i="4"/>
  <c r="B25" i="3"/>
  <c r="C13" i="1" s="1"/>
  <c r="F17" i="4"/>
  <c r="F29" i="3"/>
  <c r="G15" i="1" s="1"/>
  <c r="F10" i="4"/>
  <c r="F9" i="4"/>
  <c r="B18" i="3"/>
  <c r="E29" i="3" s="1"/>
  <c r="F15" i="1" s="1"/>
  <c r="C20" i="2"/>
  <c r="C18" i="3"/>
  <c r="D42" i="4"/>
  <c r="E24" i="3"/>
  <c r="B29" i="3"/>
  <c r="C15" i="1" s="1"/>
  <c r="F24" i="3"/>
  <c r="B34" i="3"/>
  <c r="D9" i="4"/>
  <c r="D41" i="4"/>
  <c r="C34" i="3"/>
  <c r="E9" i="4"/>
  <c r="B33" i="4"/>
  <c r="E41" i="4"/>
  <c r="B24" i="3"/>
  <c r="C8" i="4"/>
  <c r="C10" i="4" s="1"/>
  <c r="F16" i="4"/>
  <c r="F18" i="4" s="1"/>
  <c r="D25" i="4"/>
  <c r="C40" i="4"/>
  <c r="C42" i="4" s="1"/>
  <c r="F48" i="4"/>
  <c r="F50" i="4" s="1"/>
  <c r="C24" i="3"/>
  <c r="C25" i="3" s="1"/>
  <c r="D13" i="1" s="1"/>
  <c r="D24" i="3"/>
  <c r="B57" i="4" l="1"/>
  <c r="C24" i="1"/>
  <c r="E12" i="1"/>
  <c r="D28" i="3"/>
  <c r="F25" i="3"/>
  <c r="G13" i="1" s="1"/>
  <c r="G12" i="1"/>
  <c r="C41" i="4"/>
  <c r="C22" i="1"/>
  <c r="B55" i="4"/>
  <c r="C12" i="1"/>
  <c r="B28" i="3"/>
  <c r="G42" i="4"/>
  <c r="C28" i="3"/>
  <c r="D12" i="1"/>
  <c r="C17" i="3"/>
  <c r="B33" i="3" s="1"/>
  <c r="B35" i="3" s="1"/>
  <c r="D50" i="4"/>
  <c r="G50" i="4" s="1"/>
  <c r="E50" i="4"/>
  <c r="G26" i="4"/>
  <c r="D25" i="3"/>
  <c r="E13" i="1" s="1"/>
  <c r="F12" i="1"/>
  <c r="E25" i="3"/>
  <c r="F13" i="1" s="1"/>
  <c r="F34" i="3"/>
  <c r="D34" i="3"/>
  <c r="E34" i="3"/>
  <c r="G10" i="4"/>
  <c r="F24" i="1" s="1"/>
  <c r="C29" i="3"/>
  <c r="D15" i="1" s="1"/>
  <c r="B59" i="4" l="1"/>
  <c r="F26" i="1"/>
  <c r="C26" i="1"/>
  <c r="F28" i="3"/>
  <c r="D33" i="3"/>
  <c r="D35" i="3" s="1"/>
  <c r="C33" i="3"/>
  <c r="C35" i="3" s="1"/>
  <c r="B40" i="3" s="1"/>
  <c r="E6" i="1" s="1"/>
  <c r="E14" i="1"/>
  <c r="D30" i="3"/>
  <c r="E16" i="1" s="1"/>
  <c r="B30" i="3"/>
  <c r="C14" i="1"/>
  <c r="F33" i="3"/>
  <c r="F35" i="3" s="1"/>
  <c r="E33" i="3"/>
  <c r="E35" i="3" s="1"/>
  <c r="F22" i="1"/>
  <c r="B56" i="4"/>
  <c r="C23" i="1"/>
  <c r="F23" i="1"/>
  <c r="C21" i="1"/>
  <c r="B54" i="4"/>
  <c r="D14" i="1"/>
  <c r="C30" i="3"/>
  <c r="D16" i="1" s="1"/>
  <c r="B58" i="4"/>
  <c r="F25" i="1"/>
  <c r="C25" i="1"/>
  <c r="E28" i="3"/>
  <c r="C16" i="1" l="1"/>
  <c r="F30" i="3"/>
  <c r="G16" i="1" s="1"/>
  <c r="G14" i="1"/>
  <c r="F14" i="1"/>
  <c r="E30" i="3"/>
  <c r="F16" i="1" s="1"/>
  <c r="B39" i="3" l="1"/>
  <c r="B6" i="1" l="1"/>
  <c r="C17" i="1"/>
</calcChain>
</file>

<file path=xl/sharedStrings.xml><?xml version="1.0" encoding="utf-8"?>
<sst xmlns="http://schemas.openxmlformats.org/spreadsheetml/2006/main" count="266" uniqueCount="149">
  <si>
    <t>Budget Impact Analysis — Results</t>
  </si>
  <si>
    <t>Inavolisib + palbociclib + fulvestrant for PIK3CA-mutated HR+/HER2- advanced breast cancer  ·  Netherlands, payer perspective  ·  5-year horizon, no discounting</t>
  </si>
  <si>
    <t>Cumulative 5-year budget impact — list price</t>
  </si>
  <si>
    <t>Cumulative 5-year budget impact — access price</t>
  </si>
  <si>
    <t>Table 1 · Base-case budget impact by year</t>
  </si>
  <si>
    <t>Year 1</t>
  </si>
  <si>
    <t>Year 2</t>
  </si>
  <si>
    <t>Year 3</t>
  </si>
  <si>
    <t>Year 4</t>
  </si>
  <si>
    <t>Year 5</t>
  </si>
  <si>
    <t>Eligible patients (incident)</t>
  </si>
  <si>
    <t>Uptake (% on inavolisib)</t>
  </si>
  <si>
    <t>Patients on inavolisib</t>
  </si>
  <si>
    <t>Patients on comparator</t>
  </si>
  <si>
    <t>Cost WITH inavolisib (€)</t>
  </si>
  <si>
    <t>Cost WITHOUT (all comparator) (€)</t>
  </si>
  <si>
    <t>BUDGET IMPACT (€)</t>
  </si>
  <si>
    <t>Cumulative (5-yr)</t>
  </si>
  <si>
    <t>Table 2 · Sensitivity — cumulative 5-year budget impact across scenarios</t>
  </si>
  <si>
    <t>Scenario</t>
  </si>
  <si>
    <t>Cumulative 5-yr impact (€)</t>
  </si>
  <si>
    <t>vs base case</t>
  </si>
  <si>
    <t>Base case (list price)</t>
  </si>
  <si>
    <t>reference</t>
  </si>
  <si>
    <t>Population low (205/yr)</t>
  </si>
  <si>
    <t>Population high (508/yr)</t>
  </si>
  <si>
    <t>Uptake conservative</t>
  </si>
  <si>
    <t>Uptake aggressive</t>
  </si>
  <si>
    <t>Access price</t>
  </si>
  <si>
    <t>•  It grows over the 5 years only because uptake grows (44 patients in year 1 → 234 in year 5). The per-patient cost does not change; the number of patients does.</t>
  </si>
  <si>
    <t>•  The access price is inavolisib at the negotiated €6,800.38 per cycle instead of the €13,694.80 list price, which lowers the budget impact by roughly a third.</t>
  </si>
  <si>
    <t>•  Table 2 shows the result is driven mainly by eligible population size and uptake speed. Across all plausible scenarios the 5-year impact stays in the tens of millions.</t>
  </si>
  <si>
    <t>Per-patient regimen cost build-up</t>
  </si>
  <si>
    <t xml:space="preserve">Per-cycle costs are the same figures used in the thesis CUA Costs sheet. </t>
  </si>
  <si>
    <t>1 · Per-cycle cost components (€ per 28-day cycle)</t>
  </si>
  <si>
    <t>Cost component</t>
  </si>
  <si>
    <t>Inavo
cycle 1</t>
  </si>
  <si>
    <t>Inavo
cycle 2</t>
  </si>
  <si>
    <t>Inavo
cycle 3+</t>
  </si>
  <si>
    <t>Comp
cycle 1</t>
  </si>
  <si>
    <t>Comp
cycle 2</t>
  </si>
  <si>
    <t>Comp
cycle 3+</t>
  </si>
  <si>
    <t>ref</t>
  </si>
  <si>
    <t>Drug acquisition</t>
  </si>
  <si>
    <t>[7]</t>
  </si>
  <si>
    <t>Administration (fulvestrant SC)</t>
  </si>
  <si>
    <t>Pharmacy dispensing (palbociclib + goserelin)</t>
  </si>
  <si>
    <t>[14]</t>
  </si>
  <si>
    <t>Monitoring / HCRU</t>
  </si>
  <si>
    <t>Total per cycle</t>
  </si>
  <si>
    <t>2 · Treatment duration</t>
  </si>
  <si>
    <t>Parameter</t>
  </si>
  <si>
    <t>Inavolisib</t>
  </si>
  <si>
    <t>Comparator</t>
  </si>
  <si>
    <t>Mean time on treatment (months)</t>
  </si>
  <si>
    <t>[10][11]</t>
  </si>
  <si>
    <t>Cycles on treatment (months × 30.44 ÷ 28)</t>
  </si>
  <si>
    <t>3 · Per-patient regimen cost = cycle 1 + cycle 2 + (cycles − 2) × cycle 3+</t>
  </si>
  <si>
    <t>Regimen</t>
  </si>
  <si>
    <t>List price (€/patient)</t>
  </si>
  <si>
    <t>Access price (€/patient)</t>
  </si>
  <si>
    <t>Inavolisib + palbociclib + fulvestrant</t>
  </si>
  <si>
    <t>Palbociclib + fulvestrant (comparator)</t>
  </si>
  <si>
    <t>Note: the access-price column lowers inavolisib drug acquisition by the per-cycle list-vs-access difference (set on the base-case sheet), across all treatment cycles. The comparator has no access price, so it is unchanged.</t>
  </si>
  <si>
    <t>BIA — base case</t>
  </si>
  <si>
    <t xml:space="preserve">5-year budget impact, Dutch payer perspective, no discounting. </t>
  </si>
  <si>
    <t>Assumptions  (blue = change me)</t>
  </si>
  <si>
    <t>Value</t>
  </si>
  <si>
    <t>Eligible incident patients per year</t>
  </si>
  <si>
    <t>[1]-[5]</t>
  </si>
  <si>
    <t>Time horizon (years)</t>
  </si>
  <si>
    <t>[6]</t>
  </si>
  <si>
    <t>Discount rate (BIA convention)</t>
  </si>
  <si>
    <t>[6][12]</t>
  </si>
  <si>
    <t>Price inputs</t>
  </si>
  <si>
    <t>Inavolisib drug acquisition — LIST price (€/cycle)</t>
  </si>
  <si>
    <t>Inavolisib list-minus-access difference (€/cycle)</t>
  </si>
  <si>
    <t>[8]</t>
  </si>
  <si>
    <t>Per-patient regimen cost  (from 'Per-patient costs' sheet)</t>
  </si>
  <si>
    <t>List price</t>
  </si>
  <si>
    <t>Inavolisib + palbo + fulvestrant</t>
  </si>
  <si>
    <t>Comparator (palbo + fulvestrant)</t>
  </si>
  <si>
    <t>Budget impact by year  (base-case uptake 15 / 35 / 55 / 70 / 80%)</t>
  </si>
  <si>
    <t>Row</t>
  </si>
  <si>
    <t>Uptake (% of eligible on inavolisib)</t>
  </si>
  <si>
    <t>[9]</t>
  </si>
  <si>
    <t>Patients on comparator (rest)</t>
  </si>
  <si>
    <t>World costs — LIST price</t>
  </si>
  <si>
    <t>Total cost WITH inavolisib (€)</t>
  </si>
  <si>
    <t>Total cost WITHOUT (all comparator) (€)</t>
  </si>
  <si>
    <t>BUDGET IMPACT (WITH − WITHOUT) (€)</t>
  </si>
  <si>
    <t>World costs — ACCESS price (scenario)</t>
  </si>
  <si>
    <t>5-year cumulative budget impact</t>
  </si>
  <si>
    <t>Eligible population and uptake are the key BIA uncertainties (ISPOR). Each block is self-contained and uses the per-patient costs from the 'Per-patient costs' sheet.</t>
  </si>
  <si>
    <t>Base case (pop 293, uptake 15/35/55/70/80%, list price)</t>
  </si>
  <si>
    <t>5-yr total</t>
  </si>
  <si>
    <t>[5][9]</t>
  </si>
  <si>
    <t>Uptake (%)</t>
  </si>
  <si>
    <t>Budget impact (€)</t>
  </si>
  <si>
    <t>Population LOW (205/yr) — conservative epidemiology</t>
  </si>
  <si>
    <t>[5]</t>
  </si>
  <si>
    <t>Population HIGH (508/yr) — broad epidemiology</t>
  </si>
  <si>
    <t>Uptake CONSERVATIVE (10/25/40/50/60%)</t>
  </si>
  <si>
    <t>Uptake AGGRESSIVE (25/50/70/85/90%)</t>
  </si>
  <si>
    <t>ACCESS PRICE (pop 293, base-case uptake, €6,800.38/cycle)</t>
  </si>
  <si>
    <t>Scenario summary — cumulative 5-year budget impact</t>
  </si>
  <si>
    <t>Population low (205)</t>
  </si>
  <si>
    <t>Population high (508)</t>
  </si>
  <si>
    <t>Sources &amp; assumptions</t>
  </si>
  <si>
    <t>Ref</t>
  </si>
  <si>
    <t>Assumption / item</t>
  </si>
  <si>
    <t>Source</t>
  </si>
  <si>
    <t>[1]</t>
  </si>
  <si>
    <t>Annual advanced/metastatic BC flow ≈ 2,750</t>
  </si>
  <si>
    <t>Vondeling GT et al. Burden of early, advanced and metastatic breast cancer in The Netherlands. BMC Cancer 2018;18:262 (IKNL/NKR data). ~15,000 new invasive BC/yr; de novo metastatic ~5%; plus recurrences; combined ~2,500–3,000, midpoint 2,750.</t>
  </si>
  <si>
    <t>[2]</t>
  </si>
  <si>
    <t>HR+/HER2- share ≈ 65%</t>
  </si>
  <si>
    <t>EMA EPAR Itovebi, Risk Management Plan Part II Module SI. Signorovitch J et al. 2022 (~60% of metastatic BC is HR+/HER2-). Conservative midpoint 65%.</t>
  </si>
  <si>
    <t>[3]</t>
  </si>
  <si>
    <t>Endocrine-resistant 1L candidates ≈ 45%</t>
  </si>
  <si>
    <t>INAVO120 indication (FDA label; Jhaveri K et al. 2025): relapse on/within 12 months of adjuvant endocrine therapy, no prior systemic therapy for advanced disease. ~40–55% of 1L HR+/HER2- are endocrine-resistant; midpoint 45%.</t>
  </si>
  <si>
    <t>[4]</t>
  </si>
  <si>
    <t>PIK3CA-mutated ≈ 36.4%</t>
  </si>
  <si>
    <t>EMA EPAR Itovebi RMP — systematic review of 37 studies, median PIK3CA mutation 36.4% (IQR 31.2–45.6%) in HR+/HER2- metastatic BC.</t>
  </si>
  <si>
    <t>Eligible population ≈ 293/yr (range 205–508)</t>
  </si>
  <si>
    <t>2,750 × 0.65 × 0.45 × 0.364 ≈ 293. Sensitivity range from varying HR+/HER2- 60–73%, endocrine-resistant 40–55%, PIK3CA 31–46%.</t>
  </si>
  <si>
    <t>Time horizon (5 yr), no discounting, uptake as key uncertainty</t>
  </si>
  <si>
    <t>Sullivan SD et al. Budget Impact Analysis — Principles of Good Practice (ISPOR BIA Good Practice II Task Force). Value Health 2014;17:5-14. Zorginstituut Nederland, Guideline for economic evaluations in healthcare (2024). Systematic review of orphan-drug BIAs, Value Health 2021 (PMC8098807).</t>
  </si>
  <si>
    <t>Per-cycle drug, administration &amp; monitoring costs</t>
  </si>
  <si>
    <t>Thesis CUA Costs sheet §1.1–1.3: medicijnkosten.nl / Farmacotherapeutisch Kompas 2025 list prices; NZa tariffs; CPI-indexed to 2025. Inavolisib list price €13,694.80 per 28-day cycle.</t>
  </si>
  <si>
    <t>Access-based price €6,800.38/cycle (difference €6,894.42)</t>
  </si>
  <si>
    <t>Thesis access-based pricing analysis (minor ATB tier, HAS ASMR IV anchor; no quality-of-evidence penalty). Difference vs list = 13,694.80 − 6,800.38 = 6,894.42 per cycle.</t>
  </si>
  <si>
    <t>Uptake curve 15/35/55/70/80% (base case)</t>
  </si>
  <si>
    <t>Sullivan 2014 (ISPOR GPP II); Mauskopf JA et al. Value Health 2007;10:336-47 — gradual S-shaped uptake. Soto-Alsar J et al. Br J Clin Pharmacol 2025 — oncology BIA uptake from market forecasts. 80% plateau reflects the companion-diagnostic requirement and diabetes exclusion in INAVO120.</t>
  </si>
  <si>
    <t>[10]</t>
  </si>
  <si>
    <t>Inavolisib mean time on treatment ≈ 9.2 months</t>
  </si>
  <si>
    <t>EMA EPAR Itovebi — mean treatment duration ≈ 9.2 months. Converted at 30.44 days/month ÷ 28-day cycle ≈ 10 cycles.</t>
  </si>
  <si>
    <t>[11]</t>
  </si>
  <si>
    <t>Comparator time on treatment ≈ 7.3 months</t>
  </si>
  <si>
    <t>INAVO120 placebo-arm median PFS ≈ 7.3 months; time on treatment tracks PFS for the endocrine + CDK4/6 backbone ≈ 8 cycles.</t>
  </si>
  <si>
    <t>[12]</t>
  </si>
  <si>
    <t>Payer (Zvw) perspective for the BIA</t>
  </si>
  <si>
    <t>Orphan-drug BIA review (PMC8098807): third-party payer perspective is standard. Reckers-Droog V, Enzing J, Brouwer W. The role of budget impact analysis in the Netherlands. Eur J Health Econ 2024 (PMC11442504).</t>
  </si>
  <si>
    <t>[13]</t>
  </si>
  <si>
    <t>Why no progressed-disease / end-of-life costs in the BIA</t>
  </si>
  <si>
    <t>BIA scope is the incremental drug-budget cost over the treatment course (ISPOR GPP II). PD/BSC/EoL costs are broadly common to both arms over this short horizon and net out of the incremental impact; they are captured in the lifetime CUA, not the BIA.</t>
  </si>
  <si>
    <t>Pharmacy dispensing fee (terhandstelling), palbociclib + goserelin</t>
  </si>
  <si>
    <t>SFK (Stichting Farmaceutische Kengetallen), Pharmaceutisch Weekblad 2020: standaardterhandstelling EUR 6.45, eerste-uitgifte EUR 11.87 (2020), CPI-indexed to 2025 (x1.2536). Applied per cycle to palbociclib and goserelin (goserelin x premeno %); inavolisib intramural (no fee); fulvestrant administered.</t>
  </si>
  <si>
    <t>BIA - scenario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</si>
</sst>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€#,##0;&quot;(€&quot;#,##0\);\-"/>
    <numFmt numFmtId="165" formatCode="#,##0;\(#,##0\);\-"/>
    <numFmt numFmtId="166" formatCode="\+0%;\-0%"/>
    <numFmt numFmtId="167" formatCode="_-&quot;€ &quot;* #,##0.00_-;&quot;-€ &quot;* #,##0.00_-;_-&quot;€ &quot;* \-??_-;_-@_-"/>
    <numFmt numFmtId="168" formatCode="0.0"/>
    <numFmt numFmtId="169" formatCode="\€#,##0.00;&quot;(€&quot;#,##0.00\);\-"/>
  </numFmts>
  <fonts count="18" x14ac:knownFonts="1">
    <font>
      <sz val="11"/>
      <color theme="1"/>
      <name val="Calibri"/>
      <family val="2"/>
      <charset val="1"/>
    </font>
    <font>
      <b/>
      <sz val="16"/>
      <color rgb="FF1F3864"/>
      <name val="Arial"/>
      <family val="2"/>
      <charset val="1"/>
    </font>
    <font>
      <i/>
      <sz val="10"/>
      <color rgb="FF595959"/>
      <name val="Arial"/>
      <family val="2"/>
      <charset val="1"/>
    </font>
    <font>
      <sz val="9"/>
      <color rgb="FF595959"/>
      <name val="Arial"/>
      <family val="2"/>
      <charset val="1"/>
    </font>
    <font>
      <b/>
      <sz val="20"/>
      <color rgb="FF1F3864"/>
      <name val="Arial"/>
      <family val="2"/>
      <charset val="1"/>
    </font>
    <font>
      <b/>
      <sz val="20"/>
      <color rgb="FFC55A11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8000"/>
      <name val="Arial"/>
      <family val="2"/>
      <charset val="1"/>
    </font>
    <font>
      <b/>
      <sz val="11"/>
      <color rgb="FF008000"/>
      <name val="Arial"/>
      <family val="2"/>
      <charset val="1"/>
    </font>
    <font>
      <i/>
      <sz val="9"/>
      <color rgb="FF595959"/>
      <name val="Arial"/>
      <family val="2"/>
      <charset val="1"/>
    </font>
    <font>
      <b/>
      <sz val="11"/>
      <color rgb="FF1F3864"/>
      <name val="Arial"/>
      <family val="2"/>
      <charset val="1"/>
    </font>
    <font>
      <i/>
      <sz val="10"/>
      <color rgb="FF1F3864"/>
      <name val="Arial"/>
      <family val="2"/>
      <charset val="1"/>
    </font>
    <font>
      <b/>
      <sz val="14"/>
      <color rgb="FF1F3864"/>
      <name val="Arial"/>
      <family val="2"/>
      <charset val="1"/>
    </font>
    <font>
      <sz val="10"/>
      <color rgb="FF0000FF"/>
      <name val="Arial"/>
      <family val="2"/>
      <charset val="1"/>
    </font>
    <font>
      <sz val="9"/>
      <color rgb="FF808080"/>
      <name val="Arial"/>
      <family val="2"/>
      <charset val="1"/>
    </font>
    <font>
      <b/>
      <sz val="10"/>
      <color rgb="FF0000FF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EAF1E3"/>
        <bgColor rgb="FFE2EFDA"/>
      </patternFill>
    </fill>
    <fill>
      <patternFill patternType="solid">
        <fgColor rgb="FFFBE9DD"/>
        <bgColor rgb="FFFCE4D6"/>
      </patternFill>
    </fill>
    <fill>
      <patternFill patternType="solid">
        <fgColor rgb="FF1F3864"/>
        <bgColor rgb="FF333333"/>
      </patternFill>
    </fill>
    <fill>
      <patternFill patternType="solid">
        <fgColor rgb="FFD9E1F2"/>
        <bgColor rgb="FFE2EFDA"/>
      </patternFill>
    </fill>
    <fill>
      <patternFill patternType="solid">
        <fgColor rgb="FFE2EFDA"/>
        <bgColor rgb="FFEAF1E3"/>
      </patternFill>
    </fill>
    <fill>
      <patternFill patternType="solid">
        <fgColor rgb="FFF2F2F2"/>
        <bgColor rgb="FFEAF1E3"/>
      </patternFill>
    </fill>
    <fill>
      <patternFill patternType="solid">
        <fgColor rgb="FFFCE4D6"/>
        <bgColor rgb="FFFBE9DD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/>
      <diagonal/>
    </border>
    <border>
      <left style="medium">
        <color rgb="FF1F3864"/>
      </left>
      <right style="medium">
        <color rgb="FF1F3864"/>
      </right>
      <top/>
      <bottom style="medium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0">
    <xf numFmtId="0" fontId="0" fillId="0" borderId="0" xfId="0"/>
    <xf numFmtId="166" fontId="7" fillId="8" borderId="3" xfId="0" applyNumberFormat="1" applyFont="1" applyFill="1" applyBorder="1" applyAlignment="1">
      <alignment horizontal="right" vertical="center"/>
    </xf>
    <xf numFmtId="164" fontId="10" fillId="8" borderId="3" xfId="0" applyNumberFormat="1" applyFont="1" applyFill="1" applyBorder="1" applyAlignment="1">
      <alignment horizontal="right" vertical="center"/>
    </xf>
    <xf numFmtId="166" fontId="8" fillId="0" borderId="3" xfId="0" applyNumberFormat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0" fontId="11" fillId="6" borderId="3" xfId="0" applyFont="1" applyFill="1" applyBorder="1" applyAlignment="1">
      <alignment horizontal="center" vertical="center"/>
    </xf>
    <xf numFmtId="164" fontId="10" fillId="6" borderId="3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center" vertical="center" wrapText="1"/>
    </xf>
    <xf numFmtId="164" fontId="10" fillId="7" borderId="3" xfId="0" applyNumberFormat="1" applyFont="1" applyFill="1" applyBorder="1" applyAlignment="1">
      <alignment horizontal="right" indent="1"/>
    </xf>
    <xf numFmtId="0" fontId="6" fillId="4" borderId="0" xfId="0" applyFont="1" applyFill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4" borderId="0" xfId="0" applyFont="1" applyFill="1" applyAlignment="1">
      <alignment horizontal="left" vertical="center" indent="1"/>
    </xf>
    <xf numFmtId="0" fontId="7" fillId="5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165" fontId="9" fillId="0" borderId="3" xfId="0" applyNumberFormat="1" applyFont="1" applyBorder="1" applyAlignment="1">
      <alignment horizontal="right" vertical="center"/>
    </xf>
    <xf numFmtId="9" fontId="9" fillId="0" borderId="3" xfId="0" applyNumberFormat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/>
    </xf>
    <xf numFmtId="164" fontId="10" fillId="6" borderId="3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164" fontId="10" fillId="8" borderId="3" xfId="0" applyNumberFormat="1" applyFont="1" applyFill="1" applyBorder="1" applyAlignment="1">
      <alignment horizontal="right" vertical="center"/>
    </xf>
    <xf numFmtId="0" fontId="0" fillId="9" borderId="0" xfId="0" applyFill="1"/>
    <xf numFmtId="0" fontId="14" fillId="0" borderId="0" xfId="0" applyFont="1"/>
    <xf numFmtId="167" fontId="15" fillId="0" borderId="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167" fontId="7" fillId="7" borderId="3" xfId="0" applyNumberFormat="1" applyFont="1" applyFill="1" applyBorder="1" applyAlignment="1">
      <alignment horizontal="right" vertical="center"/>
    </xf>
    <xf numFmtId="0" fontId="0" fillId="7" borderId="3" xfId="0" applyFill="1" applyBorder="1"/>
    <xf numFmtId="168" fontId="15" fillId="0" borderId="3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7" fontId="8" fillId="0" borderId="3" xfId="0" applyNumberFormat="1" applyFont="1" applyBorder="1" applyAlignment="1">
      <alignment horizontal="right" vertical="center"/>
    </xf>
    <xf numFmtId="167" fontId="8" fillId="8" borderId="3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top" wrapText="1"/>
    </xf>
    <xf numFmtId="165" fontId="17" fillId="10" borderId="3" xfId="0" applyNumberFormat="1" applyFont="1" applyFill="1" applyBorder="1" applyAlignment="1">
      <alignment horizontal="right" vertical="center"/>
    </xf>
    <xf numFmtId="165" fontId="15" fillId="0" borderId="3" xfId="0" applyNumberFormat="1" applyFont="1" applyBorder="1" applyAlignment="1">
      <alignment horizontal="right" vertical="center"/>
    </xf>
    <xf numFmtId="9" fontId="15" fillId="0" borderId="3" xfId="0" applyNumberFormat="1" applyFont="1" applyBorder="1" applyAlignment="1">
      <alignment horizontal="right" vertical="center"/>
    </xf>
    <xf numFmtId="169" fontId="15" fillId="0" borderId="3" xfId="0" applyNumberFormat="1" applyFont="1" applyBorder="1" applyAlignment="1">
      <alignment horizontal="right" vertical="center"/>
    </xf>
    <xf numFmtId="169" fontId="15" fillId="10" borderId="3" xfId="0" applyNumberFormat="1" applyFont="1" applyFill="1" applyBorder="1" applyAlignment="1">
      <alignment horizontal="right" vertical="center"/>
    </xf>
    <xf numFmtId="9" fontId="15" fillId="10" borderId="3" xfId="0" applyNumberFormat="1" applyFont="1" applyFill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7" fillId="6" borderId="3" xfId="0" applyNumberFormat="1" applyFont="1" applyFill="1" applyBorder="1" applyAlignment="1">
      <alignment horizontal="right" vertical="center"/>
    </xf>
    <xf numFmtId="0" fontId="0" fillId="6" borderId="3" xfId="0" applyFill="1" applyBorder="1"/>
    <xf numFmtId="164" fontId="8" fillId="8" borderId="3" xfId="0" applyNumberFormat="1" applyFont="1" applyFill="1" applyBorder="1" applyAlignment="1">
      <alignment horizontal="right" vertical="center"/>
    </xf>
    <xf numFmtId="164" fontId="7" fillId="8" borderId="3" xfId="0" applyNumberFormat="1" applyFont="1" applyFill="1" applyBorder="1" applyAlignment="1">
      <alignment horizontal="right" vertical="center"/>
    </xf>
    <xf numFmtId="0" fontId="0" fillId="8" borderId="3" xfId="0" applyFill="1" applyBorder="1"/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2" fillId="9" borderId="0" xfId="0" applyFont="1" applyFill="1"/>
    <xf numFmtId="0" fontId="13" fillId="9" borderId="0" xfId="0" applyFont="1" applyFill="1" applyAlignment="1">
      <alignment vertical="top" wrapText="1"/>
    </xf>
    <xf numFmtId="0" fontId="11" fillId="9" borderId="0" xfId="0" applyFont="1" applyFill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/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AF1E3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BE9DD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showGridLines="0" zoomScaleNormal="100" workbookViewId="0">
      <selection activeCell="G40" sqref="G40"/>
    </sheetView>
  </sheetViews>
  <sheetFormatPr defaultColWidth="8.6328125" defaultRowHeight="14.5" x14ac:dyDescent="0.35"/>
  <cols>
    <col min="1" max="1" width="3" customWidth="1"/>
    <col min="2" max="2" width="26" customWidth="1"/>
    <col min="3" max="7" width="14" customWidth="1"/>
    <col min="8" max="8" width="3" customWidth="1"/>
  </cols>
  <sheetData>
    <row r="2" spans="2:7" ht="21.75" customHeight="1" x14ac:dyDescent="0.4">
      <c r="B2" s="15" t="s">
        <v>0</v>
      </c>
    </row>
    <row r="3" spans="2:7" x14ac:dyDescent="0.35">
      <c r="B3" s="14" t="s">
        <v>1</v>
      </c>
      <c r="C3" s="14"/>
      <c r="D3" s="14"/>
      <c r="E3" s="14"/>
      <c r="F3" s="14"/>
      <c r="G3" s="14"/>
    </row>
    <row r="5" spans="2:7" x14ac:dyDescent="0.35">
      <c r="B5" s="13" t="s">
        <v>2</v>
      </c>
      <c r="C5" s="13"/>
      <c r="D5" s="13"/>
      <c r="E5" s="12" t="s">
        <v>3</v>
      </c>
      <c r="F5" s="12"/>
      <c r="G5" s="12"/>
    </row>
    <row r="6" spans="2:7" ht="33.75" customHeight="1" x14ac:dyDescent="0.35">
      <c r="B6" s="11">
        <f>BIA_cumulative_list</f>
        <v>105000710.307</v>
      </c>
      <c r="C6" s="11"/>
      <c r="D6" s="11"/>
      <c r="E6" s="10">
        <f>BIA_cumulative_access</f>
        <v>53489051.276999995</v>
      </c>
      <c r="F6" s="10"/>
      <c r="G6" s="10"/>
    </row>
    <row r="8" spans="2:7" ht="19.5" customHeight="1" x14ac:dyDescent="0.35">
      <c r="B8" s="9" t="s">
        <v>4</v>
      </c>
      <c r="C8" s="9"/>
      <c r="D8" s="9"/>
      <c r="E8" s="9"/>
      <c r="F8" s="9"/>
      <c r="G8" s="9"/>
    </row>
    <row r="9" spans="2:7" x14ac:dyDescent="0.35">
      <c r="B9" s="17"/>
      <c r="C9" s="17" t="s">
        <v>5</v>
      </c>
      <c r="D9" s="17" t="s">
        <v>6</v>
      </c>
      <c r="E9" s="17" t="s">
        <v>7</v>
      </c>
      <c r="F9" s="17" t="s">
        <v>8</v>
      </c>
      <c r="G9" s="17" t="s">
        <v>9</v>
      </c>
    </row>
    <row r="10" spans="2:7" x14ac:dyDescent="0.35">
      <c r="B10" s="18" t="s">
        <v>10</v>
      </c>
      <c r="C10" s="19">
        <f>pop_eligible</f>
        <v>293</v>
      </c>
      <c r="D10" s="19">
        <f>pop_eligible</f>
        <v>293</v>
      </c>
      <c r="E10" s="19">
        <f>pop_eligible</f>
        <v>293</v>
      </c>
      <c r="F10" s="19">
        <f>pop_eligible</f>
        <v>293</v>
      </c>
      <c r="G10" s="19">
        <f>pop_eligible</f>
        <v>293</v>
      </c>
    </row>
    <row r="11" spans="2:7" x14ac:dyDescent="0.35">
      <c r="B11" s="18" t="s">
        <v>11</v>
      </c>
      <c r="C11" s="20">
        <f>bc_uptake_y1</f>
        <v>0.15</v>
      </c>
      <c r="D11" s="20">
        <f>bc_uptake_y2</f>
        <v>0.35</v>
      </c>
      <c r="E11" s="20">
        <f>bc_uptake_y3</f>
        <v>0.55000000000000004</v>
      </c>
      <c r="F11" s="20">
        <f>bc_uptake_y4</f>
        <v>0.7</v>
      </c>
      <c r="G11" s="20">
        <f>bc_uptake_y5</f>
        <v>0.8</v>
      </c>
    </row>
    <row r="12" spans="2:7" x14ac:dyDescent="0.35">
      <c r="B12" s="18" t="s">
        <v>12</v>
      </c>
      <c r="C12" s="19">
        <f>bc_patinav_y1</f>
        <v>43.949999999999996</v>
      </c>
      <c r="D12" s="19">
        <f>bc_patinav_y2</f>
        <v>102.55</v>
      </c>
      <c r="E12" s="19">
        <f>bc_patinav_y3</f>
        <v>161.15</v>
      </c>
      <c r="F12" s="19">
        <f>bc_patinav_y4</f>
        <v>205.1</v>
      </c>
      <c r="G12" s="19">
        <f>bc_patinav_y5</f>
        <v>234.4</v>
      </c>
    </row>
    <row r="13" spans="2:7" x14ac:dyDescent="0.35">
      <c r="B13" s="18" t="s">
        <v>13</v>
      </c>
      <c r="C13" s="19">
        <f>bc_patcomp_y1</f>
        <v>249.05</v>
      </c>
      <c r="D13" s="19">
        <f>bc_patcomp_y2</f>
        <v>190.45</v>
      </c>
      <c r="E13" s="19">
        <f>bc_patcomp_y3</f>
        <v>131.85</v>
      </c>
      <c r="F13" s="19">
        <f>bc_patcomp_y4</f>
        <v>87.9</v>
      </c>
      <c r="G13" s="19">
        <f>bc_patcomp_y5</f>
        <v>58.599999999999994</v>
      </c>
    </row>
    <row r="14" spans="2:7" x14ac:dyDescent="0.35">
      <c r="B14" s="18" t="s">
        <v>14</v>
      </c>
      <c r="C14" s="21">
        <f>bc_withlist_y1</f>
        <v>10430529.561000001</v>
      </c>
      <c r="D14" s="21">
        <f>bc_withlist_y2</f>
        <v>18665879.388999999</v>
      </c>
      <c r="E14" s="21">
        <f>bc_withlist_y3</f>
        <v>26901229.217</v>
      </c>
      <c r="F14" s="21">
        <f>bc_withlist_y4</f>
        <v>33077741.588</v>
      </c>
      <c r="G14" s="21">
        <f>bc_withlist_y5</f>
        <v>37195416.502000004</v>
      </c>
    </row>
    <row r="15" spans="2:7" x14ac:dyDescent="0.35">
      <c r="B15" s="18" t="s">
        <v>15</v>
      </c>
      <c r="C15" s="21">
        <f>bc_without_y1</f>
        <v>4254017.1900000004</v>
      </c>
      <c r="D15" s="21">
        <f>bc_without_y2</f>
        <v>4254017.1900000004</v>
      </c>
      <c r="E15" s="21">
        <f>bc_without_y3</f>
        <v>4254017.1900000004</v>
      </c>
      <c r="F15" s="21">
        <f>bc_without_y4</f>
        <v>4254017.1900000004</v>
      </c>
      <c r="G15" s="21">
        <f>bc_without_y5</f>
        <v>4254017.1900000004</v>
      </c>
    </row>
    <row r="16" spans="2:7" x14ac:dyDescent="0.35">
      <c r="B16" s="22" t="s">
        <v>16</v>
      </c>
      <c r="C16" s="23">
        <f>bc_impact_y1</f>
        <v>6176512.3710000003</v>
      </c>
      <c r="D16" s="23">
        <f>bc_impact_y2</f>
        <v>14411862.198999997</v>
      </c>
      <c r="E16" s="23">
        <f>bc_impact_y3</f>
        <v>22647212.026999999</v>
      </c>
      <c r="F16" s="23">
        <f>bc_impact_y4</f>
        <v>28823724.397999998</v>
      </c>
      <c r="G16" s="23">
        <f>bc_impact_y5</f>
        <v>32941399.312000003</v>
      </c>
    </row>
    <row r="17" spans="1:7" x14ac:dyDescent="0.35">
      <c r="B17" s="24" t="s">
        <v>17</v>
      </c>
      <c r="C17" s="8">
        <f>BIA_cumulative_list</f>
        <v>105000710.307</v>
      </c>
      <c r="D17" s="8"/>
      <c r="E17" s="8"/>
      <c r="F17" s="8"/>
      <c r="G17" s="8"/>
    </row>
    <row r="19" spans="1:7" ht="19.5" customHeight="1" x14ac:dyDescent="0.35">
      <c r="B19" s="9" t="s">
        <v>18</v>
      </c>
      <c r="C19" s="9"/>
      <c r="D19" s="9"/>
      <c r="E19" s="9"/>
      <c r="F19" s="9"/>
      <c r="G19" s="9"/>
    </row>
    <row r="20" spans="1:7" ht="15" customHeight="1" x14ac:dyDescent="0.35">
      <c r="B20" s="17" t="s">
        <v>19</v>
      </c>
      <c r="C20" s="7" t="s">
        <v>20</v>
      </c>
      <c r="D20" s="7"/>
      <c r="E20" s="7"/>
      <c r="F20" s="7" t="s">
        <v>21</v>
      </c>
      <c r="G20" s="7"/>
    </row>
    <row r="21" spans="1:7" x14ac:dyDescent="0.35">
      <c r="B21" s="22" t="s">
        <v>22</v>
      </c>
      <c r="C21" s="6">
        <f>scen_base</f>
        <v>105000710.30699998</v>
      </c>
      <c r="D21" s="6"/>
      <c r="E21" s="6"/>
      <c r="F21" s="5" t="s">
        <v>23</v>
      </c>
      <c r="G21" s="5"/>
    </row>
    <row r="22" spans="1:7" x14ac:dyDescent="0.35">
      <c r="B22" s="18" t="s">
        <v>24</v>
      </c>
      <c r="C22" s="4">
        <f>scen_pop_low</f>
        <v>73464660.795000002</v>
      </c>
      <c r="D22" s="4"/>
      <c r="E22" s="4"/>
      <c r="F22" s="3">
        <f>scen_pop_low/scen_base-1</f>
        <v>-0.30034129692832745</v>
      </c>
      <c r="G22" s="3"/>
    </row>
    <row r="23" spans="1:7" x14ac:dyDescent="0.35">
      <c r="B23" s="18" t="s">
        <v>25</v>
      </c>
      <c r="C23" s="4">
        <f>scen_pop_high</f>
        <v>182049013.09199995</v>
      </c>
      <c r="D23" s="4"/>
      <c r="E23" s="4"/>
      <c r="F23" s="3">
        <f>scen_pop_high/scen_base-1</f>
        <v>0.73378839590443667</v>
      </c>
      <c r="G23" s="3"/>
    </row>
    <row r="24" spans="1:7" x14ac:dyDescent="0.35">
      <c r="B24" s="18" t="s">
        <v>26</v>
      </c>
      <c r="C24" s="4">
        <f>scen_up_low</f>
        <v>76176985.908999994</v>
      </c>
      <c r="D24" s="4"/>
      <c r="E24" s="4"/>
      <c r="F24" s="3">
        <f>scen_up_low/scen_base-1</f>
        <v>-0.27450980392156854</v>
      </c>
      <c r="G24" s="3"/>
    </row>
    <row r="25" spans="1:7" x14ac:dyDescent="0.35">
      <c r="B25" s="18" t="s">
        <v>27</v>
      </c>
      <c r="C25" s="4">
        <f>scen_up_high</f>
        <v>131765597.24799998</v>
      </c>
      <c r="D25" s="4"/>
      <c r="E25" s="4"/>
      <c r="F25" s="3">
        <f>scen_up_high/scen_base-1</f>
        <v>0.25490196078431371</v>
      </c>
      <c r="G25" s="3"/>
    </row>
    <row r="26" spans="1:7" x14ac:dyDescent="0.35">
      <c r="B26" s="25" t="s">
        <v>28</v>
      </c>
      <c r="C26" s="2">
        <f>scen_access</f>
        <v>53489051.276999995</v>
      </c>
      <c r="D26" s="2"/>
      <c r="E26" s="2"/>
      <c r="F26" s="1">
        <f>scen_access/scen_base-1</f>
        <v>-0.49058391014109082</v>
      </c>
      <c r="G26" s="1"/>
    </row>
    <row r="28" spans="1:7" ht="19.5" customHeight="1" x14ac:dyDescent="0.35">
      <c r="B28" s="9"/>
      <c r="C28" s="9"/>
      <c r="D28" s="9"/>
      <c r="E28" s="9"/>
      <c r="F28" s="9"/>
      <c r="G28" s="9"/>
    </row>
    <row r="29" spans="1:7" ht="30" customHeight="1" x14ac:dyDescent="0.35">
      <c r="B29" s="53" t="s">
        <v>29</v>
      </c>
      <c r="C29" s="53"/>
      <c r="D29" s="53"/>
      <c r="E29" s="53"/>
      <c r="F29" s="53"/>
      <c r="G29" s="53"/>
    </row>
    <row r="30" spans="1:7" ht="30" customHeight="1" x14ac:dyDescent="0.35">
      <c r="B30" s="53" t="s">
        <v>30</v>
      </c>
      <c r="C30" s="53"/>
      <c r="D30" s="53"/>
      <c r="E30" s="53"/>
      <c r="F30" s="53"/>
      <c r="G30" s="53"/>
    </row>
    <row r="31" spans="1:7" ht="30" customHeight="1" x14ac:dyDescent="0.35">
      <c r="B31" s="53" t="s">
        <v>31</v>
      </c>
      <c r="C31" s="53"/>
      <c r="D31" s="53"/>
      <c r="E31" s="53"/>
      <c r="F31" s="53"/>
      <c r="G31" s="53"/>
    </row>
    <row r="32" spans="1:7" ht="30" customHeight="1" x14ac:dyDescent="0.35">
      <c r="A32" s="27"/>
      <c r="B32" s="27"/>
      <c r="C32" s="27"/>
      <c r="D32" s="27"/>
      <c r="E32" s="27"/>
      <c r="F32" s="27"/>
      <c r="G32" s="27"/>
    </row>
    <row r="33" spans="1:7" x14ac:dyDescent="0.35">
      <c r="A33" s="27"/>
      <c r="B33" s="27"/>
      <c r="C33" s="27"/>
      <c r="D33" s="27"/>
      <c r="E33" s="27"/>
      <c r="F33" s="27"/>
      <c r="G33" s="27"/>
    </row>
    <row r="34" spans="1:7" x14ac:dyDescent="0.35">
      <c r="A34" s="27"/>
      <c r="B34" s="54"/>
      <c r="C34" s="54"/>
      <c r="D34" s="54"/>
      <c r="E34" s="54"/>
      <c r="F34" s="54"/>
      <c r="G34" s="54"/>
    </row>
    <row r="35" spans="1:7" ht="30" customHeight="1" x14ac:dyDescent="0.35">
      <c r="A35" s="27"/>
      <c r="B35" s="55"/>
      <c r="C35" s="55"/>
      <c r="D35" s="55"/>
      <c r="E35" s="55"/>
      <c r="F35" s="55"/>
      <c r="G35" s="55"/>
    </row>
    <row r="36" spans="1:7" x14ac:dyDescent="0.35">
      <c r="A36" s="27"/>
      <c r="B36" s="55"/>
      <c r="C36" s="55"/>
      <c r="D36" s="55"/>
      <c r="E36" s="55"/>
      <c r="F36" s="55"/>
      <c r="G36" s="55"/>
    </row>
    <row r="37" spans="1:7" x14ac:dyDescent="0.35">
      <c r="A37" s="27"/>
      <c r="B37" s="55"/>
      <c r="C37" s="55"/>
      <c r="D37" s="55"/>
      <c r="E37" s="55"/>
      <c r="F37" s="55"/>
      <c r="G37" s="55"/>
    </row>
    <row r="38" spans="1:7" x14ac:dyDescent="0.35">
      <c r="A38" s="27"/>
      <c r="B38" s="27"/>
      <c r="C38" s="27"/>
      <c r="D38" s="27"/>
      <c r="E38" s="27"/>
      <c r="F38" s="27"/>
      <c r="G38" s="27"/>
    </row>
    <row r="39" spans="1:7" ht="30" customHeight="1" x14ac:dyDescent="0.35">
      <c r="A39" s="27"/>
      <c r="B39" s="56"/>
      <c r="C39" s="56"/>
      <c r="D39" s="56"/>
      <c r="E39" s="56"/>
      <c r="F39" s="56"/>
      <c r="G39" s="56"/>
    </row>
    <row r="40" spans="1:7" x14ac:dyDescent="0.35">
      <c r="A40" s="27"/>
      <c r="B40" s="27"/>
      <c r="C40" s="27"/>
      <c r="D40" s="27"/>
      <c r="E40" s="27"/>
      <c r="F40" s="27"/>
      <c r="G40" s="27"/>
    </row>
  </sheetData>
  <mergeCells count="29">
    <mergeCell ref="B35:G37"/>
    <mergeCell ref="B39:G39"/>
    <mergeCell ref="B28:G28"/>
    <mergeCell ref="B29:G29"/>
    <mergeCell ref="B30:G30"/>
    <mergeCell ref="B31:G31"/>
    <mergeCell ref="B34:G34"/>
    <mergeCell ref="C24:E24"/>
    <mergeCell ref="F24:G24"/>
    <mergeCell ref="C25:E25"/>
    <mergeCell ref="F25:G25"/>
    <mergeCell ref="C26:E26"/>
    <mergeCell ref="F26:G26"/>
    <mergeCell ref="C21:E21"/>
    <mergeCell ref="F21:G21"/>
    <mergeCell ref="C22:E22"/>
    <mergeCell ref="F22:G22"/>
    <mergeCell ref="C23:E23"/>
    <mergeCell ref="F23:G23"/>
    <mergeCell ref="B8:G8"/>
    <mergeCell ref="C17:G17"/>
    <mergeCell ref="B19:G19"/>
    <mergeCell ref="C20:E20"/>
    <mergeCell ref="F20:G20"/>
    <mergeCell ref="B3:G3"/>
    <mergeCell ref="B5:D5"/>
    <mergeCell ref="E5:G5"/>
    <mergeCell ref="B6:D6"/>
    <mergeCell ref="E6:G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showGridLines="0" zoomScaleNormal="100" workbookViewId="0">
      <selection activeCell="D5" sqref="D5"/>
    </sheetView>
  </sheetViews>
  <sheetFormatPr defaultColWidth="8.6328125" defaultRowHeight="14.5" x14ac:dyDescent="0.35"/>
  <cols>
    <col min="1" max="1" width="42" customWidth="1"/>
    <col min="2" max="7" width="14" customWidth="1"/>
    <col min="8" max="8" width="7" customWidth="1"/>
  </cols>
  <sheetData>
    <row r="1" spans="1:8" ht="18" customHeight="1" x14ac:dyDescent="0.4">
      <c r="A1" s="28" t="s">
        <v>32</v>
      </c>
    </row>
    <row r="2" spans="1:8" ht="31.5" customHeight="1" x14ac:dyDescent="0.35">
      <c r="A2" s="57" t="s">
        <v>33</v>
      </c>
      <c r="B2" s="57"/>
      <c r="C2" s="57"/>
      <c r="D2" s="57"/>
      <c r="E2" s="57"/>
      <c r="F2" s="57"/>
      <c r="G2" s="57"/>
      <c r="H2" s="57"/>
    </row>
    <row r="4" spans="1:8" ht="19.5" customHeight="1" x14ac:dyDescent="0.35">
      <c r="A4" s="9" t="s">
        <v>34</v>
      </c>
      <c r="B4" s="9"/>
      <c r="C4" s="9"/>
      <c r="D4" s="9"/>
      <c r="E4" s="9"/>
      <c r="F4" s="9"/>
      <c r="G4" s="9"/>
      <c r="H4" s="9"/>
    </row>
    <row r="5" spans="1:8" ht="25.5" customHeight="1" x14ac:dyDescent="0.35">
      <c r="A5" s="17" t="s">
        <v>35</v>
      </c>
      <c r="B5" s="17" t="s">
        <v>36</v>
      </c>
      <c r="C5" s="17" t="s">
        <v>37</v>
      </c>
      <c r="D5" s="17" t="s">
        <v>38</v>
      </c>
      <c r="E5" s="17" t="s">
        <v>39</v>
      </c>
      <c r="F5" s="17" t="s">
        <v>40</v>
      </c>
      <c r="G5" s="17" t="s">
        <v>41</v>
      </c>
      <c r="H5" s="17" t="s">
        <v>42</v>
      </c>
    </row>
    <row r="6" spans="1:8" x14ac:dyDescent="0.35">
      <c r="A6" s="18" t="s">
        <v>43</v>
      </c>
      <c r="B6" s="29">
        <v>15468.96</v>
      </c>
      <c r="C6" s="29">
        <v>15216.08</v>
      </c>
      <c r="D6" s="29">
        <v>15216.08</v>
      </c>
      <c r="E6" s="29">
        <v>1769.08</v>
      </c>
      <c r="F6" s="29">
        <v>1516.2</v>
      </c>
      <c r="G6" s="29">
        <v>1516.2</v>
      </c>
      <c r="H6" s="30" t="s">
        <v>44</v>
      </c>
    </row>
    <row r="7" spans="1:8" x14ac:dyDescent="0.35">
      <c r="A7" s="18" t="s">
        <v>45</v>
      </c>
      <c r="B7" s="29">
        <v>166.76</v>
      </c>
      <c r="C7" s="29">
        <v>83.38</v>
      </c>
      <c r="D7" s="29">
        <v>83.38</v>
      </c>
      <c r="E7" s="29">
        <v>166.76</v>
      </c>
      <c r="F7" s="29">
        <v>83.38</v>
      </c>
      <c r="G7" s="29">
        <v>83.38</v>
      </c>
      <c r="H7" s="30" t="s">
        <v>44</v>
      </c>
    </row>
    <row r="8" spans="1:8" x14ac:dyDescent="0.35">
      <c r="A8" s="18" t="s">
        <v>46</v>
      </c>
      <c r="B8" s="29">
        <v>20.89</v>
      </c>
      <c r="C8" s="29">
        <v>11.35</v>
      </c>
      <c r="D8" s="29">
        <v>11.35</v>
      </c>
      <c r="E8" s="29">
        <v>20.239999999999998</v>
      </c>
      <c r="F8" s="29">
        <v>11</v>
      </c>
      <c r="G8" s="29">
        <v>11</v>
      </c>
      <c r="H8" s="30" t="s">
        <v>47</v>
      </c>
    </row>
    <row r="9" spans="1:8" x14ac:dyDescent="0.35">
      <c r="A9" s="18" t="s">
        <v>48</v>
      </c>
      <c r="B9" s="29">
        <v>287.01</v>
      </c>
      <c r="C9" s="29">
        <v>154.1</v>
      </c>
      <c r="D9" s="29">
        <v>144.85</v>
      </c>
      <c r="E9" s="29">
        <v>284.32</v>
      </c>
      <c r="F9" s="29">
        <v>151.41</v>
      </c>
      <c r="G9" s="29">
        <v>142.16</v>
      </c>
      <c r="H9" s="30" t="s">
        <v>44</v>
      </c>
    </row>
    <row r="10" spans="1:8" x14ac:dyDescent="0.35">
      <c r="A10" s="24" t="s">
        <v>49</v>
      </c>
      <c r="B10" s="31">
        <f t="shared" ref="B10:G10" si="0">SUM(B6:B9)</f>
        <v>15943.619999999999</v>
      </c>
      <c r="C10" s="31">
        <f t="shared" si="0"/>
        <v>15464.91</v>
      </c>
      <c r="D10" s="31">
        <f t="shared" si="0"/>
        <v>15455.66</v>
      </c>
      <c r="E10" s="31">
        <f t="shared" si="0"/>
        <v>2240.4</v>
      </c>
      <c r="F10" s="31">
        <f t="shared" si="0"/>
        <v>1761.99</v>
      </c>
      <c r="G10" s="31">
        <f t="shared" si="0"/>
        <v>1752.74</v>
      </c>
      <c r="H10" s="32"/>
    </row>
    <row r="11" spans="1:8" ht="19.5" customHeight="1" x14ac:dyDescent="0.35">
      <c r="A11" s="58"/>
      <c r="B11" s="58"/>
      <c r="C11" s="58"/>
      <c r="D11" s="58"/>
      <c r="E11" s="58"/>
      <c r="F11" s="58"/>
      <c r="G11" s="58"/>
      <c r="H11" s="58"/>
    </row>
    <row r="12" spans="1:8" x14ac:dyDescent="0.35">
      <c r="A12" s="16" t="s">
        <v>50</v>
      </c>
    </row>
    <row r="13" spans="1:8" x14ac:dyDescent="0.35">
      <c r="A13" s="17" t="s">
        <v>51</v>
      </c>
      <c r="B13" s="17" t="s">
        <v>52</v>
      </c>
      <c r="C13" s="17" t="s">
        <v>53</v>
      </c>
      <c r="H13" s="17" t="s">
        <v>42</v>
      </c>
    </row>
    <row r="14" spans="1:8" x14ac:dyDescent="0.35">
      <c r="A14" s="18" t="s">
        <v>54</v>
      </c>
      <c r="B14" s="33">
        <v>9.1999999999999993</v>
      </c>
      <c r="C14" s="33">
        <v>7.3</v>
      </c>
      <c r="H14" s="30" t="s">
        <v>55</v>
      </c>
    </row>
    <row r="15" spans="1:8" x14ac:dyDescent="0.35">
      <c r="A15" s="18" t="s">
        <v>56</v>
      </c>
      <c r="B15" s="34">
        <f>ROUND(B14*30.44/28,0)</f>
        <v>10</v>
      </c>
      <c r="C15" s="34">
        <f>ROUND(C14*30.44/28,0)</f>
        <v>8</v>
      </c>
    </row>
    <row r="16" spans="1:8" ht="19.5" customHeight="1" x14ac:dyDescent="0.35">
      <c r="A16" s="58"/>
      <c r="B16" s="58"/>
      <c r="C16" s="58"/>
      <c r="D16" s="58"/>
      <c r="E16" s="58"/>
      <c r="F16" s="58"/>
      <c r="G16" s="58"/>
      <c r="H16" s="58"/>
    </row>
    <row r="17" spans="1:8" ht="25.5" customHeight="1" x14ac:dyDescent="0.35">
      <c r="A17" s="16" t="s">
        <v>57</v>
      </c>
    </row>
    <row r="18" spans="1:8" ht="26" x14ac:dyDescent="0.35">
      <c r="A18" s="17" t="s">
        <v>58</v>
      </c>
      <c r="B18" s="17" t="s">
        <v>59</v>
      </c>
      <c r="C18" s="17" t="s">
        <v>60</v>
      </c>
    </row>
    <row r="19" spans="1:8" x14ac:dyDescent="0.35">
      <c r="A19" s="18" t="s">
        <v>61</v>
      </c>
      <c r="B19" s="35">
        <f>SUM(B6:B9)+SUM(C6:C9)+MAX(B15-2,0)*SUM(D6:D9)</f>
        <v>155053.81</v>
      </c>
      <c r="C19" s="36">
        <f>B19-B15*inav_list_minus_access</f>
        <v>86109.61</v>
      </c>
    </row>
    <row r="20" spans="1:8" x14ac:dyDescent="0.35">
      <c r="A20" s="18" t="s">
        <v>62</v>
      </c>
      <c r="B20" s="35">
        <f>SUM(E6:E9)+SUM(F6:F9)+MAX(C15-2,0)*SUM(G6:G9)</f>
        <v>14518.830000000002</v>
      </c>
      <c r="C20" s="36">
        <f>B20</f>
        <v>14518.830000000002</v>
      </c>
    </row>
    <row r="21" spans="1:8" ht="42" customHeight="1" x14ac:dyDescent="0.35">
      <c r="A21" s="58"/>
      <c r="B21" s="58"/>
      <c r="C21" s="58"/>
      <c r="D21" s="58"/>
      <c r="E21" s="58"/>
      <c r="F21" s="58"/>
      <c r="G21" s="58"/>
      <c r="H21" s="58"/>
    </row>
    <row r="22" spans="1:8" ht="60" x14ac:dyDescent="0.35">
      <c r="A22" s="37" t="s">
        <v>63</v>
      </c>
    </row>
  </sheetData>
  <mergeCells count="5">
    <mergeCell ref="A2:H2"/>
    <mergeCell ref="A4:H4"/>
    <mergeCell ref="A11:H11"/>
    <mergeCell ref="A16:H16"/>
    <mergeCell ref="A21:H2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showGridLines="0" topLeftCell="A27" zoomScaleNormal="100" workbookViewId="0">
      <selection activeCell="A2" sqref="A2:H2"/>
    </sheetView>
  </sheetViews>
  <sheetFormatPr defaultColWidth="8.6328125" defaultRowHeight="14.5" x14ac:dyDescent="0.35"/>
  <cols>
    <col min="1" max="1" width="42" customWidth="1"/>
    <col min="2" max="2" width="15" customWidth="1"/>
    <col min="3" max="7" width="13" customWidth="1"/>
    <col min="8" max="8" width="7" customWidth="1"/>
  </cols>
  <sheetData>
    <row r="1" spans="1:8" ht="18" customHeight="1" x14ac:dyDescent="0.4">
      <c r="A1" s="28" t="s">
        <v>64</v>
      </c>
    </row>
    <row r="2" spans="1:8" x14ac:dyDescent="0.35">
      <c r="A2" s="14" t="s">
        <v>65</v>
      </c>
      <c r="B2" s="14"/>
      <c r="C2" s="14"/>
      <c r="D2" s="14"/>
      <c r="E2" s="14"/>
      <c r="F2" s="14"/>
      <c r="G2" s="14"/>
      <c r="H2" s="14"/>
    </row>
    <row r="4" spans="1:8" ht="19.5" customHeight="1" x14ac:dyDescent="0.35">
      <c r="A4" s="9" t="s">
        <v>66</v>
      </c>
      <c r="B4" s="9"/>
      <c r="C4" s="9"/>
      <c r="D4" s="9"/>
      <c r="E4" s="9"/>
      <c r="F4" s="9"/>
      <c r="G4" s="9"/>
      <c r="H4" s="9"/>
    </row>
    <row r="5" spans="1:8" x14ac:dyDescent="0.35">
      <c r="A5" s="17" t="s">
        <v>51</v>
      </c>
      <c r="B5" s="17" t="s">
        <v>67</v>
      </c>
      <c r="H5" s="17" t="s">
        <v>42</v>
      </c>
    </row>
    <row r="6" spans="1:8" x14ac:dyDescent="0.35">
      <c r="A6" s="18" t="s">
        <v>68</v>
      </c>
      <c r="B6" s="38">
        <v>293</v>
      </c>
      <c r="H6" s="30" t="s">
        <v>69</v>
      </c>
    </row>
    <row r="7" spans="1:8" x14ac:dyDescent="0.35">
      <c r="A7" s="18" t="s">
        <v>70</v>
      </c>
      <c r="B7" s="39">
        <v>5</v>
      </c>
      <c r="H7" s="30" t="s">
        <v>71</v>
      </c>
    </row>
    <row r="8" spans="1:8" x14ac:dyDescent="0.35">
      <c r="A8" s="18" t="s">
        <v>72</v>
      </c>
      <c r="B8" s="40">
        <v>0</v>
      </c>
      <c r="H8" s="30" t="s">
        <v>73</v>
      </c>
    </row>
    <row r="10" spans="1:8" ht="19.5" customHeight="1" x14ac:dyDescent="0.35">
      <c r="A10" s="9" t="s">
        <v>74</v>
      </c>
      <c r="B10" s="9"/>
      <c r="C10" s="9"/>
      <c r="D10" s="9"/>
      <c r="E10" s="9"/>
      <c r="F10" s="9"/>
      <c r="G10" s="9"/>
      <c r="H10" s="9"/>
    </row>
    <row r="11" spans="1:8" x14ac:dyDescent="0.35">
      <c r="A11" s="17" t="s">
        <v>51</v>
      </c>
      <c r="B11" s="17" t="s">
        <v>67</v>
      </c>
      <c r="H11" s="17" t="s">
        <v>42</v>
      </c>
    </row>
    <row r="12" spans="1:8" x14ac:dyDescent="0.35">
      <c r="A12" s="18" t="s">
        <v>75</v>
      </c>
      <c r="B12" s="41">
        <v>13694.8</v>
      </c>
      <c r="H12" s="30" t="s">
        <v>44</v>
      </c>
    </row>
    <row r="13" spans="1:8" x14ac:dyDescent="0.35">
      <c r="A13" s="18" t="s">
        <v>76</v>
      </c>
      <c r="B13" s="42">
        <v>6894.42</v>
      </c>
      <c r="H13" s="30" t="s">
        <v>77</v>
      </c>
    </row>
    <row r="15" spans="1:8" ht="19.5" customHeight="1" x14ac:dyDescent="0.35">
      <c r="A15" s="9" t="s">
        <v>78</v>
      </c>
      <c r="B15" s="9"/>
      <c r="C15" s="9"/>
      <c r="D15" s="9"/>
      <c r="E15" s="9"/>
      <c r="F15" s="9"/>
      <c r="G15" s="9"/>
      <c r="H15" s="9"/>
    </row>
    <row r="16" spans="1:8" x14ac:dyDescent="0.35">
      <c r="A16" s="17" t="s">
        <v>58</v>
      </c>
      <c r="B16" s="17" t="s">
        <v>79</v>
      </c>
      <c r="C16" s="17" t="s">
        <v>28</v>
      </c>
    </row>
    <row r="17" spans="1:8" x14ac:dyDescent="0.35">
      <c r="A17" s="18" t="s">
        <v>80</v>
      </c>
      <c r="B17" s="21">
        <f>cost_inav_list</f>
        <v>155053.81</v>
      </c>
      <c r="C17" s="21">
        <f>cost_inav_access</f>
        <v>86109.61</v>
      </c>
    </row>
    <row r="18" spans="1:8" x14ac:dyDescent="0.35">
      <c r="A18" s="18" t="s">
        <v>81</v>
      </c>
      <c r="B18" s="21">
        <f>cost_comparator</f>
        <v>14518.830000000002</v>
      </c>
      <c r="C18" s="21">
        <f>cost_comparator</f>
        <v>14518.830000000002</v>
      </c>
    </row>
    <row r="20" spans="1:8" ht="19.5" customHeight="1" x14ac:dyDescent="0.35">
      <c r="A20" s="9" t="s">
        <v>82</v>
      </c>
      <c r="B20" s="9"/>
      <c r="C20" s="9"/>
      <c r="D20" s="9"/>
      <c r="E20" s="9"/>
      <c r="F20" s="9"/>
      <c r="G20" s="9"/>
      <c r="H20" s="9"/>
    </row>
    <row r="21" spans="1:8" x14ac:dyDescent="0.35">
      <c r="A21" s="17" t="s">
        <v>83</v>
      </c>
      <c r="B21" s="17" t="s">
        <v>5</v>
      </c>
      <c r="C21" s="17" t="s">
        <v>6</v>
      </c>
      <c r="D21" s="17" t="s">
        <v>7</v>
      </c>
      <c r="E21" s="17" t="s">
        <v>8</v>
      </c>
      <c r="F21" s="17" t="s">
        <v>9</v>
      </c>
      <c r="H21" s="17" t="s">
        <v>42</v>
      </c>
    </row>
    <row r="22" spans="1:8" x14ac:dyDescent="0.35">
      <c r="A22" s="18" t="s">
        <v>84</v>
      </c>
      <c r="B22" s="43">
        <v>0.15</v>
      </c>
      <c r="C22" s="43">
        <v>0.35</v>
      </c>
      <c r="D22" s="43">
        <v>0.55000000000000004</v>
      </c>
      <c r="E22" s="43">
        <v>0.7</v>
      </c>
      <c r="F22" s="43">
        <v>0.8</v>
      </c>
      <c r="H22" s="30" t="s">
        <v>85</v>
      </c>
    </row>
    <row r="23" spans="1:8" x14ac:dyDescent="0.35">
      <c r="A23" s="18" t="s">
        <v>10</v>
      </c>
      <c r="B23" s="19">
        <f>pop_eligible</f>
        <v>293</v>
      </c>
      <c r="C23" s="19">
        <f>pop_eligible</f>
        <v>293</v>
      </c>
      <c r="D23" s="19">
        <f>pop_eligible</f>
        <v>293</v>
      </c>
      <c r="E23" s="19">
        <f>pop_eligible</f>
        <v>293</v>
      </c>
      <c r="F23" s="19">
        <f>pop_eligible</f>
        <v>293</v>
      </c>
    </row>
    <row r="24" spans="1:8" x14ac:dyDescent="0.35">
      <c r="A24" s="18" t="s">
        <v>12</v>
      </c>
      <c r="B24" s="34">
        <f>B23*B22</f>
        <v>43.949999999999996</v>
      </c>
      <c r="C24" s="34">
        <f>C23*C22</f>
        <v>102.55</v>
      </c>
      <c r="D24" s="34">
        <f>D23*D22</f>
        <v>161.15</v>
      </c>
      <c r="E24" s="34">
        <f>E23*E22</f>
        <v>205.1</v>
      </c>
      <c r="F24" s="34">
        <f>F23*F22</f>
        <v>234.4</v>
      </c>
    </row>
    <row r="25" spans="1:8" x14ac:dyDescent="0.35">
      <c r="A25" s="18" t="s">
        <v>86</v>
      </c>
      <c r="B25" s="34">
        <f>B23-B24</f>
        <v>249.05</v>
      </c>
      <c r="C25" s="34">
        <f>C23-C24</f>
        <v>190.45</v>
      </c>
      <c r="D25" s="34">
        <f>D23-D24</f>
        <v>131.85</v>
      </c>
      <c r="E25" s="34">
        <f>E23-E24</f>
        <v>87.9</v>
      </c>
      <c r="F25" s="34">
        <f>F23-F24</f>
        <v>58.599999999999994</v>
      </c>
    </row>
    <row r="27" spans="1:8" ht="19.5" customHeight="1" x14ac:dyDescent="0.35">
      <c r="A27" s="9" t="s">
        <v>87</v>
      </c>
      <c r="B27" s="9"/>
      <c r="C27" s="9"/>
      <c r="D27" s="9"/>
      <c r="E27" s="9"/>
      <c r="F27" s="9"/>
      <c r="G27" s="9"/>
      <c r="H27" s="9"/>
    </row>
    <row r="28" spans="1:8" x14ac:dyDescent="0.35">
      <c r="A28" s="18" t="s">
        <v>88</v>
      </c>
      <c r="B28" s="44">
        <f>B24*$B$17+B25*$B$18</f>
        <v>10430529.561000001</v>
      </c>
      <c r="C28" s="44">
        <f>C24*$B$17+C25*$B$18</f>
        <v>18665879.388999999</v>
      </c>
      <c r="D28" s="44">
        <f>D24*$B$17+D25*$B$18</f>
        <v>26901229.217</v>
      </c>
      <c r="E28" s="44">
        <f>E24*$B$17+E25*$B$18</f>
        <v>33077741.588</v>
      </c>
      <c r="F28" s="44">
        <f>F24*$B$17+F25*$B$18</f>
        <v>37195416.502000004</v>
      </c>
    </row>
    <row r="29" spans="1:8" x14ac:dyDescent="0.35">
      <c r="A29" s="18" t="s">
        <v>89</v>
      </c>
      <c r="B29" s="44">
        <f>B23*$B$18</f>
        <v>4254017.1900000004</v>
      </c>
      <c r="C29" s="44">
        <f>C23*$B$18</f>
        <v>4254017.1900000004</v>
      </c>
      <c r="D29" s="44">
        <f>D23*$B$18</f>
        <v>4254017.1900000004</v>
      </c>
      <c r="E29" s="44">
        <f>E23*$B$18</f>
        <v>4254017.1900000004</v>
      </c>
      <c r="F29" s="44">
        <f>F23*$B$18</f>
        <v>4254017.1900000004</v>
      </c>
    </row>
    <row r="30" spans="1:8" x14ac:dyDescent="0.35">
      <c r="A30" s="22" t="s">
        <v>90</v>
      </c>
      <c r="B30" s="45">
        <f>B28-B29</f>
        <v>6176512.3710000003</v>
      </c>
      <c r="C30" s="45">
        <f>C28-C29</f>
        <v>14411862.198999997</v>
      </c>
      <c r="D30" s="45">
        <f>D28-D29</f>
        <v>22647212.026999999</v>
      </c>
      <c r="E30" s="45">
        <f>E28-E29</f>
        <v>28823724.397999998</v>
      </c>
      <c r="F30" s="45">
        <f>F28-F29</f>
        <v>32941399.312000003</v>
      </c>
      <c r="H30" s="46"/>
    </row>
    <row r="32" spans="1:8" ht="19.5" customHeight="1" x14ac:dyDescent="0.35">
      <c r="A32" s="9" t="s">
        <v>91</v>
      </c>
      <c r="B32" s="9"/>
      <c r="C32" s="9"/>
      <c r="D32" s="9"/>
      <c r="E32" s="9"/>
      <c r="F32" s="9"/>
      <c r="G32" s="9"/>
      <c r="H32" s="9"/>
    </row>
    <row r="33" spans="1:8" x14ac:dyDescent="0.35">
      <c r="A33" s="18" t="s">
        <v>88</v>
      </c>
      <c r="B33" s="47">
        <f>B24*$C$17+B25*$B$18</f>
        <v>7400431.9710000008</v>
      </c>
      <c r="C33" s="47">
        <f>C24*$C$17+C25*$B$18</f>
        <v>11595651.679</v>
      </c>
      <c r="D33" s="47">
        <f>D24*$C$17+D25*$B$18</f>
        <v>15790871.387</v>
      </c>
      <c r="E33" s="47">
        <f>E24*$C$17+E25*$B$18</f>
        <v>18937286.168000001</v>
      </c>
      <c r="F33" s="47">
        <f>F24*$C$17+F25*$B$18</f>
        <v>21034896.022</v>
      </c>
    </row>
    <row r="34" spans="1:8" x14ac:dyDescent="0.35">
      <c r="A34" s="18" t="s">
        <v>89</v>
      </c>
      <c r="B34" s="47">
        <f>B23*$B$18</f>
        <v>4254017.1900000004</v>
      </c>
      <c r="C34" s="47">
        <f>C23*$B$18</f>
        <v>4254017.1900000004</v>
      </c>
      <c r="D34" s="47">
        <f>D23*$B$18</f>
        <v>4254017.1900000004</v>
      </c>
      <c r="E34" s="47">
        <f>E23*$B$18</f>
        <v>4254017.1900000004</v>
      </c>
      <c r="F34" s="47">
        <f>F23*$B$18</f>
        <v>4254017.1900000004</v>
      </c>
    </row>
    <row r="35" spans="1:8" x14ac:dyDescent="0.35">
      <c r="A35" s="25" t="s">
        <v>90</v>
      </c>
      <c r="B35" s="48">
        <f>B33-B34</f>
        <v>3146414.7810000004</v>
      </c>
      <c r="C35" s="48">
        <f>C33-C34</f>
        <v>7341634.4889999991</v>
      </c>
      <c r="D35" s="48">
        <f>D33-D34</f>
        <v>11536854.197000001</v>
      </c>
      <c r="E35" s="48">
        <f>E33-E34</f>
        <v>14683268.978</v>
      </c>
      <c r="F35" s="48">
        <f>F33-F34</f>
        <v>16780878.831999999</v>
      </c>
      <c r="H35" s="49"/>
    </row>
    <row r="37" spans="1:8" ht="19.5" customHeight="1" x14ac:dyDescent="0.35">
      <c r="A37" s="9" t="s">
        <v>92</v>
      </c>
      <c r="B37" s="9"/>
      <c r="C37" s="9"/>
      <c r="D37" s="9"/>
      <c r="E37" s="9"/>
      <c r="F37" s="9"/>
      <c r="G37" s="9"/>
      <c r="H37" s="9"/>
    </row>
    <row r="38" spans="1:8" ht="25.5" customHeight="1" x14ac:dyDescent="0.35">
      <c r="A38" s="17" t="s">
        <v>19</v>
      </c>
      <c r="B38" s="17" t="s">
        <v>20</v>
      </c>
    </row>
    <row r="39" spans="1:8" x14ac:dyDescent="0.35">
      <c r="A39" s="22" t="s">
        <v>79</v>
      </c>
      <c r="B39" s="45">
        <f>SUM(B30:F30)</f>
        <v>105000710.307</v>
      </c>
    </row>
    <row r="40" spans="1:8" x14ac:dyDescent="0.35">
      <c r="A40" s="25" t="s">
        <v>28</v>
      </c>
      <c r="B40" s="48">
        <f>SUM(B35:F35)</f>
        <v>53489051.276999995</v>
      </c>
    </row>
    <row r="42" spans="1:8" ht="49.5" customHeight="1" x14ac:dyDescent="0.35">
      <c r="A42" s="59"/>
      <c r="B42" s="59"/>
      <c r="C42" s="59"/>
      <c r="D42" s="59"/>
      <c r="E42" s="59"/>
      <c r="F42" s="59"/>
      <c r="G42" s="59"/>
      <c r="H42" s="59"/>
    </row>
  </sheetData>
  <mergeCells count="9">
    <mergeCell ref="A27:H27"/>
    <mergeCell ref="A32:H32"/>
    <mergeCell ref="A37:H37"/>
    <mergeCell ref="A42:H42"/>
    <mergeCell ref="A2:H2"/>
    <mergeCell ref="A4:H4"/>
    <mergeCell ref="A10:H10"/>
    <mergeCell ref="A15:H15"/>
    <mergeCell ref="A20:H2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showGridLines="0" topLeftCell="A40" zoomScaleNormal="100" workbookViewId="0">
      <selection activeCell="A12" sqref="A12:H12"/>
    </sheetView>
  </sheetViews>
  <sheetFormatPr defaultColWidth="8.6328125" defaultRowHeight="14.5" x14ac:dyDescent="0.35"/>
  <cols>
    <col min="1" max="1" width="40" customWidth="1"/>
    <col min="2" max="6" width="13" customWidth="1"/>
    <col min="7" max="7" width="15" customWidth="1"/>
    <col min="8" max="8" width="7" customWidth="1"/>
  </cols>
  <sheetData>
    <row r="1" spans="1:8" ht="18" customHeight="1" x14ac:dyDescent="0.4">
      <c r="A1" s="28" t="s">
        <v>148</v>
      </c>
    </row>
    <row r="2" spans="1:8" x14ac:dyDescent="0.35">
      <c r="A2" s="14" t="s">
        <v>93</v>
      </c>
      <c r="B2" s="14"/>
      <c r="C2" s="14"/>
      <c r="D2" s="14"/>
      <c r="E2" s="14"/>
      <c r="F2" s="14"/>
      <c r="G2" s="14"/>
      <c r="H2" s="14"/>
    </row>
    <row r="4" spans="1:8" ht="19.5" customHeight="1" x14ac:dyDescent="0.35">
      <c r="A4" s="9" t="s">
        <v>94</v>
      </c>
      <c r="B4" s="9"/>
      <c r="C4" s="9"/>
      <c r="D4" s="9"/>
      <c r="E4" s="9"/>
      <c r="F4" s="9"/>
      <c r="G4" s="9"/>
      <c r="H4" s="9"/>
    </row>
    <row r="5" spans="1:8" x14ac:dyDescent="0.35">
      <c r="A5" s="17" t="s">
        <v>83</v>
      </c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95</v>
      </c>
      <c r="H5" s="17" t="s">
        <v>42</v>
      </c>
    </row>
    <row r="6" spans="1:8" x14ac:dyDescent="0.35">
      <c r="A6" s="18" t="s">
        <v>10</v>
      </c>
      <c r="B6" s="34">
        <f>pop_eligible</f>
        <v>293</v>
      </c>
      <c r="C6" s="34">
        <f>pop_eligible</f>
        <v>293</v>
      </c>
      <c r="D6" s="34">
        <f>pop_eligible</f>
        <v>293</v>
      </c>
      <c r="E6" s="34">
        <f>pop_eligible</f>
        <v>293</v>
      </c>
      <c r="F6" s="34">
        <f>pop_eligible</f>
        <v>293</v>
      </c>
      <c r="H6" s="30" t="s">
        <v>96</v>
      </c>
    </row>
    <row r="7" spans="1:8" x14ac:dyDescent="0.35">
      <c r="A7" s="18" t="s">
        <v>97</v>
      </c>
      <c r="B7" s="43">
        <v>0.15</v>
      </c>
      <c r="C7" s="43">
        <v>0.35</v>
      </c>
      <c r="D7" s="43">
        <v>0.55000000000000004</v>
      </c>
      <c r="E7" s="43">
        <v>0.7</v>
      </c>
      <c r="F7" s="43">
        <v>0.8</v>
      </c>
    </row>
    <row r="8" spans="1:8" x14ac:dyDescent="0.35">
      <c r="A8" s="18" t="s">
        <v>12</v>
      </c>
      <c r="B8" s="34">
        <f>B6*B7</f>
        <v>43.949999999999996</v>
      </c>
      <c r="C8" s="34">
        <f>C6*C7</f>
        <v>102.55</v>
      </c>
      <c r="D8" s="34">
        <f>D6*D7</f>
        <v>161.15</v>
      </c>
      <c r="E8" s="34">
        <f>E6*E7</f>
        <v>205.1</v>
      </c>
      <c r="F8" s="34">
        <f>F6*F7</f>
        <v>234.4</v>
      </c>
    </row>
    <row r="9" spans="1:8" x14ac:dyDescent="0.35">
      <c r="A9" s="18" t="s">
        <v>13</v>
      </c>
      <c r="B9" s="34">
        <f>B6-B8</f>
        <v>249.05</v>
      </c>
      <c r="C9" s="34">
        <f>C6-C8</f>
        <v>190.45</v>
      </c>
      <c r="D9" s="34">
        <f>D6-D8</f>
        <v>131.85</v>
      </c>
      <c r="E9" s="34">
        <f>E6-E8</f>
        <v>87.9</v>
      </c>
      <c r="F9" s="34">
        <f>F6-F8</f>
        <v>58.599999999999994</v>
      </c>
    </row>
    <row r="10" spans="1:8" x14ac:dyDescent="0.35">
      <c r="A10" s="22" t="s">
        <v>98</v>
      </c>
      <c r="B10" s="45">
        <f>B8*(cost_inav_list-cost_comparator)</f>
        <v>6176512.3709999984</v>
      </c>
      <c r="C10" s="45">
        <f>C8*(cost_inav_list-cost_comparator)</f>
        <v>14411862.198999997</v>
      </c>
      <c r="D10" s="45">
        <f>D8*(cost_inav_list-cost_comparator)</f>
        <v>22647212.026999999</v>
      </c>
      <c r="E10" s="45">
        <f>E8*(cost_inav_list-cost_comparator)</f>
        <v>28823724.397999994</v>
      </c>
      <c r="F10" s="45">
        <f>F8*(cost_inav_list-cost_comparator)</f>
        <v>32941399.311999995</v>
      </c>
      <c r="G10" s="45">
        <f>SUM(B10:F10)</f>
        <v>105000710.30699998</v>
      </c>
      <c r="H10" s="46"/>
    </row>
    <row r="12" spans="1:8" ht="19.5" customHeight="1" x14ac:dyDescent="0.35">
      <c r="A12" s="9" t="s">
        <v>99</v>
      </c>
      <c r="B12" s="9"/>
      <c r="C12" s="9"/>
      <c r="D12" s="9"/>
      <c r="E12" s="9"/>
      <c r="F12" s="9"/>
      <c r="G12" s="9"/>
      <c r="H12" s="9"/>
    </row>
    <row r="13" spans="1:8" x14ac:dyDescent="0.35">
      <c r="A13" s="17" t="s">
        <v>83</v>
      </c>
      <c r="B13" s="17" t="s">
        <v>5</v>
      </c>
      <c r="C13" s="17" t="s">
        <v>6</v>
      </c>
      <c r="D13" s="17" t="s">
        <v>7</v>
      </c>
      <c r="E13" s="17" t="s">
        <v>8</v>
      </c>
      <c r="F13" s="17" t="s">
        <v>9</v>
      </c>
      <c r="G13" s="17" t="s">
        <v>95</v>
      </c>
      <c r="H13" s="17" t="s">
        <v>42</v>
      </c>
    </row>
    <row r="14" spans="1:8" x14ac:dyDescent="0.35">
      <c r="A14" s="18" t="s">
        <v>10</v>
      </c>
      <c r="B14" s="34">
        <f>205</f>
        <v>205</v>
      </c>
      <c r="C14" s="34">
        <f>205</f>
        <v>205</v>
      </c>
      <c r="D14" s="34">
        <f>205</f>
        <v>205</v>
      </c>
      <c r="E14" s="34">
        <f>205</f>
        <v>205</v>
      </c>
      <c r="F14" s="34">
        <f>205</f>
        <v>205</v>
      </c>
      <c r="H14" s="30" t="s">
        <v>100</v>
      </c>
    </row>
    <row r="15" spans="1:8" x14ac:dyDescent="0.35">
      <c r="A15" s="18" t="s">
        <v>97</v>
      </c>
      <c r="B15" s="43">
        <v>0.15</v>
      </c>
      <c r="C15" s="43">
        <v>0.35</v>
      </c>
      <c r="D15" s="43">
        <v>0.55000000000000004</v>
      </c>
      <c r="E15" s="43">
        <v>0.7</v>
      </c>
      <c r="F15" s="43">
        <v>0.8</v>
      </c>
    </row>
    <row r="16" spans="1:8" x14ac:dyDescent="0.35">
      <c r="A16" s="18" t="s">
        <v>12</v>
      </c>
      <c r="B16" s="34">
        <f>B14*B15</f>
        <v>30.75</v>
      </c>
      <c r="C16" s="34">
        <f>C14*C15</f>
        <v>71.75</v>
      </c>
      <c r="D16" s="34">
        <f>D14*D15</f>
        <v>112.75000000000001</v>
      </c>
      <c r="E16" s="34">
        <f>E14*E15</f>
        <v>143.5</v>
      </c>
      <c r="F16" s="34">
        <f>F14*F15</f>
        <v>164</v>
      </c>
    </row>
    <row r="17" spans="1:8" x14ac:dyDescent="0.35">
      <c r="A17" s="18" t="s">
        <v>13</v>
      </c>
      <c r="B17" s="34">
        <f>B14-B16</f>
        <v>174.25</v>
      </c>
      <c r="C17" s="34">
        <f>C14-C16</f>
        <v>133.25</v>
      </c>
      <c r="D17" s="34">
        <f>D14-D16</f>
        <v>92.249999999999986</v>
      </c>
      <c r="E17" s="34">
        <f>E14-E16</f>
        <v>61.5</v>
      </c>
      <c r="F17" s="34">
        <f>F14-F16</f>
        <v>41</v>
      </c>
    </row>
    <row r="18" spans="1:8" x14ac:dyDescent="0.35">
      <c r="A18" s="22" t="s">
        <v>98</v>
      </c>
      <c r="B18" s="45">
        <f>B16*(cost_inav_list-cost_comparator)</f>
        <v>4321450.6349999998</v>
      </c>
      <c r="C18" s="45">
        <f>C16*(cost_inav_list-cost_comparator)</f>
        <v>10083384.814999999</v>
      </c>
      <c r="D18" s="45">
        <f>D16*(cost_inav_list-cost_comparator)</f>
        <v>15845318.994999999</v>
      </c>
      <c r="E18" s="45">
        <f>E16*(cost_inav_list-cost_comparator)</f>
        <v>20166769.629999999</v>
      </c>
      <c r="F18" s="45">
        <f>F16*(cost_inav_list-cost_comparator)</f>
        <v>23047736.719999999</v>
      </c>
      <c r="G18" s="45">
        <f>SUM(B18:F18)</f>
        <v>73464660.795000002</v>
      </c>
      <c r="H18" s="46"/>
    </row>
    <row r="20" spans="1:8" ht="19.5" customHeight="1" x14ac:dyDescent="0.35">
      <c r="A20" s="9" t="s">
        <v>101</v>
      </c>
      <c r="B20" s="9"/>
      <c r="C20" s="9"/>
      <c r="D20" s="9"/>
      <c r="E20" s="9"/>
      <c r="F20" s="9"/>
      <c r="G20" s="9"/>
      <c r="H20" s="9"/>
    </row>
    <row r="21" spans="1:8" x14ac:dyDescent="0.35">
      <c r="A21" s="17" t="s">
        <v>83</v>
      </c>
      <c r="B21" s="17" t="s">
        <v>5</v>
      </c>
      <c r="C21" s="17" t="s">
        <v>6</v>
      </c>
      <c r="D21" s="17" t="s">
        <v>7</v>
      </c>
      <c r="E21" s="17" t="s">
        <v>8</v>
      </c>
      <c r="F21" s="17" t="s">
        <v>9</v>
      </c>
      <c r="G21" s="17" t="s">
        <v>95</v>
      </c>
      <c r="H21" s="17" t="s">
        <v>42</v>
      </c>
    </row>
    <row r="22" spans="1:8" x14ac:dyDescent="0.35">
      <c r="A22" s="18" t="s">
        <v>10</v>
      </c>
      <c r="B22" s="34">
        <f>508</f>
        <v>508</v>
      </c>
      <c r="C22" s="34">
        <f>508</f>
        <v>508</v>
      </c>
      <c r="D22" s="34">
        <f>508</f>
        <v>508</v>
      </c>
      <c r="E22" s="34">
        <f>508</f>
        <v>508</v>
      </c>
      <c r="F22" s="34">
        <f>508</f>
        <v>508</v>
      </c>
      <c r="H22" s="30" t="s">
        <v>100</v>
      </c>
    </row>
    <row r="23" spans="1:8" x14ac:dyDescent="0.35">
      <c r="A23" s="18" t="s">
        <v>97</v>
      </c>
      <c r="B23" s="43">
        <v>0.15</v>
      </c>
      <c r="C23" s="43">
        <v>0.35</v>
      </c>
      <c r="D23" s="43">
        <v>0.55000000000000004</v>
      </c>
      <c r="E23" s="43">
        <v>0.7</v>
      </c>
      <c r="F23" s="43">
        <v>0.8</v>
      </c>
    </row>
    <row r="24" spans="1:8" x14ac:dyDescent="0.35">
      <c r="A24" s="18" t="s">
        <v>12</v>
      </c>
      <c r="B24" s="34">
        <f>B22*B23</f>
        <v>76.2</v>
      </c>
      <c r="C24" s="34">
        <f>C22*C23</f>
        <v>177.79999999999998</v>
      </c>
      <c r="D24" s="34">
        <f>D22*D23</f>
        <v>279.40000000000003</v>
      </c>
      <c r="E24" s="34">
        <f>E22*E23</f>
        <v>355.59999999999997</v>
      </c>
      <c r="F24" s="34">
        <f>F22*F23</f>
        <v>406.40000000000003</v>
      </c>
    </row>
    <row r="25" spans="1:8" x14ac:dyDescent="0.35">
      <c r="A25" s="18" t="s">
        <v>13</v>
      </c>
      <c r="B25" s="34">
        <f>B22-B24</f>
        <v>431.8</v>
      </c>
      <c r="C25" s="34">
        <f>C22-C24</f>
        <v>330.20000000000005</v>
      </c>
      <c r="D25" s="34">
        <f>D22-D24</f>
        <v>228.59999999999997</v>
      </c>
      <c r="E25" s="34">
        <f>E22-E24</f>
        <v>152.40000000000003</v>
      </c>
      <c r="F25" s="34">
        <f>F22-F24</f>
        <v>101.59999999999997</v>
      </c>
    </row>
    <row r="26" spans="1:8" x14ac:dyDescent="0.35">
      <c r="A26" s="22" t="s">
        <v>98</v>
      </c>
      <c r="B26" s="45">
        <f>B24*(cost_inav_list-cost_comparator)</f>
        <v>10708765.476</v>
      </c>
      <c r="C26" s="45">
        <f>C24*(cost_inav_list-cost_comparator)</f>
        <v>24987119.443999995</v>
      </c>
      <c r="D26" s="45">
        <f>D24*(cost_inav_list-cost_comparator)</f>
        <v>39265473.412</v>
      </c>
      <c r="E26" s="45">
        <f>E24*(cost_inav_list-cost_comparator)</f>
        <v>49974238.887999989</v>
      </c>
      <c r="F26" s="45">
        <f>F24*(cost_inav_list-cost_comparator)</f>
        <v>57113415.871999994</v>
      </c>
      <c r="G26" s="45">
        <f>SUM(B26:F26)</f>
        <v>182049013.09199995</v>
      </c>
      <c r="H26" s="46"/>
    </row>
    <row r="28" spans="1:8" ht="19.5" customHeight="1" x14ac:dyDescent="0.35">
      <c r="A28" s="9" t="s">
        <v>102</v>
      </c>
      <c r="B28" s="9"/>
      <c r="C28" s="9"/>
      <c r="D28" s="9"/>
      <c r="E28" s="9"/>
      <c r="F28" s="9"/>
      <c r="G28" s="9"/>
      <c r="H28" s="9"/>
    </row>
    <row r="29" spans="1:8" x14ac:dyDescent="0.35">
      <c r="A29" s="17" t="s">
        <v>83</v>
      </c>
      <c r="B29" s="17" t="s">
        <v>5</v>
      </c>
      <c r="C29" s="17" t="s">
        <v>6</v>
      </c>
      <c r="D29" s="17" t="s">
        <v>7</v>
      </c>
      <c r="E29" s="17" t="s">
        <v>8</v>
      </c>
      <c r="F29" s="17" t="s">
        <v>9</v>
      </c>
      <c r="G29" s="17" t="s">
        <v>95</v>
      </c>
      <c r="H29" s="17" t="s">
        <v>42</v>
      </c>
    </row>
    <row r="30" spans="1:8" x14ac:dyDescent="0.35">
      <c r="A30" s="18" t="s">
        <v>10</v>
      </c>
      <c r="B30" s="34">
        <f>pop_eligible</f>
        <v>293</v>
      </c>
      <c r="C30" s="34">
        <f>pop_eligible</f>
        <v>293</v>
      </c>
      <c r="D30" s="34">
        <f>pop_eligible</f>
        <v>293</v>
      </c>
      <c r="E30" s="34">
        <f>pop_eligible</f>
        <v>293</v>
      </c>
      <c r="F30" s="34">
        <f>pop_eligible</f>
        <v>293</v>
      </c>
      <c r="H30" s="30" t="s">
        <v>71</v>
      </c>
    </row>
    <row r="31" spans="1:8" x14ac:dyDescent="0.35">
      <c r="A31" s="18" t="s">
        <v>97</v>
      </c>
      <c r="B31" s="43">
        <v>0.1</v>
      </c>
      <c r="C31" s="43">
        <v>0.25</v>
      </c>
      <c r="D31" s="43">
        <v>0.4</v>
      </c>
      <c r="E31" s="43">
        <v>0.5</v>
      </c>
      <c r="F31" s="43">
        <v>0.6</v>
      </c>
    </row>
    <row r="32" spans="1:8" x14ac:dyDescent="0.35">
      <c r="A32" s="18" t="s">
        <v>12</v>
      </c>
      <c r="B32" s="34">
        <f>B30*B31</f>
        <v>29.3</v>
      </c>
      <c r="C32" s="34">
        <f>C30*C31</f>
        <v>73.25</v>
      </c>
      <c r="D32" s="34">
        <f>D30*D31</f>
        <v>117.2</v>
      </c>
      <c r="E32" s="34">
        <f>E30*E31</f>
        <v>146.5</v>
      </c>
      <c r="F32" s="34">
        <f>F30*F31</f>
        <v>175.79999999999998</v>
      </c>
    </row>
    <row r="33" spans="1:8" x14ac:dyDescent="0.35">
      <c r="A33" s="18" t="s">
        <v>13</v>
      </c>
      <c r="B33" s="34">
        <f>B30-B32</f>
        <v>263.7</v>
      </c>
      <c r="C33" s="34">
        <f>C30-C32</f>
        <v>219.75</v>
      </c>
      <c r="D33" s="34">
        <f>D30-D32</f>
        <v>175.8</v>
      </c>
      <c r="E33" s="34">
        <f>E30-E32</f>
        <v>146.5</v>
      </c>
      <c r="F33" s="34">
        <f>F30-F32</f>
        <v>117.20000000000002</v>
      </c>
    </row>
    <row r="34" spans="1:8" x14ac:dyDescent="0.35">
      <c r="A34" s="22" t="s">
        <v>98</v>
      </c>
      <c r="B34" s="45">
        <f>B32*(cost_inav_list-cost_comparator)</f>
        <v>4117674.9139999994</v>
      </c>
      <c r="C34" s="45">
        <f>C32*(cost_inav_list-cost_comparator)</f>
        <v>10294187.284999998</v>
      </c>
      <c r="D34" s="45">
        <f>D32*(cost_inav_list-cost_comparator)</f>
        <v>16470699.655999998</v>
      </c>
      <c r="E34" s="45">
        <f>E32*(cost_inav_list-cost_comparator)</f>
        <v>20588374.569999997</v>
      </c>
      <c r="F34" s="45">
        <f>F32*(cost_inav_list-cost_comparator)</f>
        <v>24706049.483999994</v>
      </c>
      <c r="G34" s="45">
        <f>SUM(B34:F34)</f>
        <v>76176985.908999994</v>
      </c>
      <c r="H34" s="46"/>
    </row>
    <row r="36" spans="1:8" ht="19.5" customHeight="1" x14ac:dyDescent="0.35">
      <c r="A36" s="9" t="s">
        <v>103</v>
      </c>
      <c r="B36" s="9"/>
      <c r="C36" s="9"/>
      <c r="D36" s="9"/>
      <c r="E36" s="9"/>
      <c r="F36" s="9"/>
      <c r="G36" s="9"/>
      <c r="H36" s="9"/>
    </row>
    <row r="37" spans="1:8" x14ac:dyDescent="0.35">
      <c r="A37" s="17" t="s">
        <v>83</v>
      </c>
      <c r="B37" s="17" t="s">
        <v>5</v>
      </c>
      <c r="C37" s="17" t="s">
        <v>6</v>
      </c>
      <c r="D37" s="17" t="s">
        <v>7</v>
      </c>
      <c r="E37" s="17" t="s">
        <v>8</v>
      </c>
      <c r="F37" s="17" t="s">
        <v>9</v>
      </c>
      <c r="G37" s="17" t="s">
        <v>95</v>
      </c>
      <c r="H37" s="17" t="s">
        <v>42</v>
      </c>
    </row>
    <row r="38" spans="1:8" x14ac:dyDescent="0.35">
      <c r="A38" s="18" t="s">
        <v>10</v>
      </c>
      <c r="B38" s="34">
        <f>pop_eligible</f>
        <v>293</v>
      </c>
      <c r="C38" s="34">
        <f>pop_eligible</f>
        <v>293</v>
      </c>
      <c r="D38" s="34">
        <f>pop_eligible</f>
        <v>293</v>
      </c>
      <c r="E38" s="34">
        <f>pop_eligible</f>
        <v>293</v>
      </c>
      <c r="F38" s="34">
        <f>pop_eligible</f>
        <v>293</v>
      </c>
      <c r="H38" s="30" t="s">
        <v>71</v>
      </c>
    </row>
    <row r="39" spans="1:8" x14ac:dyDescent="0.35">
      <c r="A39" s="18" t="s">
        <v>97</v>
      </c>
      <c r="B39" s="43">
        <v>0.25</v>
      </c>
      <c r="C39" s="43">
        <v>0.5</v>
      </c>
      <c r="D39" s="43">
        <v>0.7</v>
      </c>
      <c r="E39" s="43">
        <v>0.85</v>
      </c>
      <c r="F39" s="43">
        <v>0.9</v>
      </c>
    </row>
    <row r="40" spans="1:8" x14ac:dyDescent="0.35">
      <c r="A40" s="18" t="s">
        <v>12</v>
      </c>
      <c r="B40" s="34">
        <f>B38*B39</f>
        <v>73.25</v>
      </c>
      <c r="C40" s="34">
        <f>C38*C39</f>
        <v>146.5</v>
      </c>
      <c r="D40" s="34">
        <f>D38*D39</f>
        <v>205.1</v>
      </c>
      <c r="E40" s="34">
        <f>E38*E39</f>
        <v>249.04999999999998</v>
      </c>
      <c r="F40" s="34">
        <f>F38*F39</f>
        <v>263.7</v>
      </c>
    </row>
    <row r="41" spans="1:8" x14ac:dyDescent="0.35">
      <c r="A41" s="18" t="s">
        <v>13</v>
      </c>
      <c r="B41" s="34">
        <f>B38-B40</f>
        <v>219.75</v>
      </c>
      <c r="C41" s="34">
        <f>C38-C40</f>
        <v>146.5</v>
      </c>
      <c r="D41" s="34">
        <f>D38-D40</f>
        <v>87.9</v>
      </c>
      <c r="E41" s="34">
        <f>E38-E40</f>
        <v>43.950000000000017</v>
      </c>
      <c r="F41" s="34">
        <f>F38-F40</f>
        <v>29.300000000000011</v>
      </c>
    </row>
    <row r="42" spans="1:8" x14ac:dyDescent="0.35">
      <c r="A42" s="22" t="s">
        <v>98</v>
      </c>
      <c r="B42" s="45">
        <f>B40*(cost_inav_list-cost_comparator)</f>
        <v>10294187.284999998</v>
      </c>
      <c r="C42" s="45">
        <f>C40*(cost_inav_list-cost_comparator)</f>
        <v>20588374.569999997</v>
      </c>
      <c r="D42" s="45">
        <f>D40*(cost_inav_list-cost_comparator)</f>
        <v>28823724.397999994</v>
      </c>
      <c r="E42" s="45">
        <f>E40*(cost_inav_list-cost_comparator)</f>
        <v>35000236.768999994</v>
      </c>
      <c r="F42" s="45">
        <f>F40*(cost_inav_list-cost_comparator)</f>
        <v>37059074.225999996</v>
      </c>
      <c r="G42" s="45">
        <f>SUM(B42:F42)</f>
        <v>131765597.24799998</v>
      </c>
      <c r="H42" s="46"/>
    </row>
    <row r="44" spans="1:8" ht="19.5" customHeight="1" x14ac:dyDescent="0.35">
      <c r="A44" s="9" t="s">
        <v>104</v>
      </c>
      <c r="B44" s="9"/>
      <c r="C44" s="9"/>
      <c r="D44" s="9"/>
      <c r="E44" s="9"/>
      <c r="F44" s="9"/>
      <c r="G44" s="9"/>
      <c r="H44" s="9"/>
    </row>
    <row r="45" spans="1:8" x14ac:dyDescent="0.35">
      <c r="A45" s="17" t="s">
        <v>83</v>
      </c>
      <c r="B45" s="17" t="s">
        <v>5</v>
      </c>
      <c r="C45" s="17" t="s">
        <v>6</v>
      </c>
      <c r="D45" s="17" t="s">
        <v>7</v>
      </c>
      <c r="E45" s="17" t="s">
        <v>8</v>
      </c>
      <c r="F45" s="17" t="s">
        <v>9</v>
      </c>
      <c r="G45" s="17" t="s">
        <v>95</v>
      </c>
      <c r="H45" s="17" t="s">
        <v>42</v>
      </c>
    </row>
    <row r="46" spans="1:8" x14ac:dyDescent="0.35">
      <c r="A46" s="18" t="s">
        <v>10</v>
      </c>
      <c r="B46" s="34">
        <f>pop_eligible</f>
        <v>293</v>
      </c>
      <c r="C46" s="34">
        <f>pop_eligible</f>
        <v>293</v>
      </c>
      <c r="D46" s="34">
        <f>pop_eligible</f>
        <v>293</v>
      </c>
      <c r="E46" s="34">
        <f>pop_eligible</f>
        <v>293</v>
      </c>
      <c r="F46" s="34">
        <f>pop_eligible</f>
        <v>293</v>
      </c>
      <c r="H46" s="30" t="s">
        <v>77</v>
      </c>
    </row>
    <row r="47" spans="1:8" x14ac:dyDescent="0.35">
      <c r="A47" s="18" t="s">
        <v>97</v>
      </c>
      <c r="B47" s="43">
        <v>0.15</v>
      </c>
      <c r="C47" s="43">
        <v>0.35</v>
      </c>
      <c r="D47" s="43">
        <v>0.55000000000000004</v>
      </c>
      <c r="E47" s="43">
        <v>0.7</v>
      </c>
      <c r="F47" s="43">
        <v>0.8</v>
      </c>
    </row>
    <row r="48" spans="1:8" x14ac:dyDescent="0.35">
      <c r="A48" s="18" t="s">
        <v>12</v>
      </c>
      <c r="B48" s="34">
        <f>B46*B47</f>
        <v>43.949999999999996</v>
      </c>
      <c r="C48" s="34">
        <f>C46*C47</f>
        <v>102.55</v>
      </c>
      <c r="D48" s="34">
        <f>D46*D47</f>
        <v>161.15</v>
      </c>
      <c r="E48" s="34">
        <f>E46*E47</f>
        <v>205.1</v>
      </c>
      <c r="F48" s="34">
        <f>F46*F47</f>
        <v>234.4</v>
      </c>
    </row>
    <row r="49" spans="1:8" x14ac:dyDescent="0.35">
      <c r="A49" s="18" t="s">
        <v>13</v>
      </c>
      <c r="B49" s="34">
        <f>B46-B48</f>
        <v>249.05</v>
      </c>
      <c r="C49" s="34">
        <f>C46-C48</f>
        <v>190.45</v>
      </c>
      <c r="D49" s="34">
        <f>D46-D48</f>
        <v>131.85</v>
      </c>
      <c r="E49" s="34">
        <f>E46-E48</f>
        <v>87.9</v>
      </c>
      <c r="F49" s="34">
        <f>F46-F48</f>
        <v>58.599999999999994</v>
      </c>
    </row>
    <row r="50" spans="1:8" x14ac:dyDescent="0.35">
      <c r="A50" s="22" t="s">
        <v>98</v>
      </c>
      <c r="B50" s="45">
        <f>B48*(cost_inav_access-cost_comparator)</f>
        <v>3146414.7809999995</v>
      </c>
      <c r="C50" s="45">
        <f>C48*(cost_inav_access-cost_comparator)</f>
        <v>7341634.4890000001</v>
      </c>
      <c r="D50" s="45">
        <f>D48*(cost_inav_access-cost_comparator)</f>
        <v>11536854.197000001</v>
      </c>
      <c r="E50" s="45">
        <f>E48*(cost_inav_access-cost_comparator)</f>
        <v>14683268.978</v>
      </c>
      <c r="F50" s="45">
        <f>F48*(cost_inav_access-cost_comparator)</f>
        <v>16780878.831999999</v>
      </c>
      <c r="G50" s="45">
        <f>SUM(B50:F50)</f>
        <v>53489051.276999995</v>
      </c>
      <c r="H50" s="46"/>
    </row>
    <row r="52" spans="1:8" ht="19.5" customHeight="1" x14ac:dyDescent="0.35">
      <c r="A52" s="9" t="s">
        <v>105</v>
      </c>
      <c r="B52" s="9"/>
      <c r="C52" s="9"/>
      <c r="D52" s="9"/>
      <c r="E52" s="9"/>
      <c r="F52" s="9"/>
      <c r="G52" s="9"/>
      <c r="H52" s="9"/>
    </row>
    <row r="53" spans="1:8" ht="25.5" customHeight="1" x14ac:dyDescent="0.35">
      <c r="A53" s="17" t="s">
        <v>19</v>
      </c>
      <c r="B53" s="17" t="s">
        <v>20</v>
      </c>
    </row>
    <row r="54" spans="1:8" x14ac:dyDescent="0.35">
      <c r="A54" s="22" t="s">
        <v>22</v>
      </c>
      <c r="B54" s="23">
        <f>scen_base</f>
        <v>105000710.30699998</v>
      </c>
    </row>
    <row r="55" spans="1:8" x14ac:dyDescent="0.35">
      <c r="A55" s="18" t="s">
        <v>106</v>
      </c>
      <c r="B55" s="21">
        <f>scen_pop_low</f>
        <v>73464660.795000002</v>
      </c>
    </row>
    <row r="56" spans="1:8" x14ac:dyDescent="0.35">
      <c r="A56" s="18" t="s">
        <v>107</v>
      </c>
      <c r="B56" s="21">
        <f>scen_pop_high</f>
        <v>182049013.09199995</v>
      </c>
    </row>
    <row r="57" spans="1:8" x14ac:dyDescent="0.35">
      <c r="A57" s="18" t="s">
        <v>26</v>
      </c>
      <c r="B57" s="21">
        <f>scen_up_low</f>
        <v>76176985.908999994</v>
      </c>
    </row>
    <row r="58" spans="1:8" x14ac:dyDescent="0.35">
      <c r="A58" s="18" t="s">
        <v>27</v>
      </c>
      <c r="B58" s="21">
        <f>scen_up_high</f>
        <v>131765597.24799998</v>
      </c>
    </row>
    <row r="59" spans="1:8" x14ac:dyDescent="0.35">
      <c r="A59" s="25" t="s">
        <v>28</v>
      </c>
      <c r="B59" s="26">
        <f>scen_access</f>
        <v>53489051.276999995</v>
      </c>
    </row>
  </sheetData>
  <mergeCells count="8">
    <mergeCell ref="A36:H36"/>
    <mergeCell ref="A44:H44"/>
    <mergeCell ref="A52:H52"/>
    <mergeCell ref="A2:H2"/>
    <mergeCell ref="A4:H4"/>
    <mergeCell ref="A12:H12"/>
    <mergeCell ref="A20:H20"/>
    <mergeCell ref="A28:H28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9"/>
  <sheetViews>
    <sheetView showGridLines="0" tabSelected="1" topLeftCell="A14" zoomScaleNormal="100" workbookViewId="0">
      <selection activeCell="B3" sqref="B3:D3"/>
    </sheetView>
  </sheetViews>
  <sheetFormatPr defaultColWidth="8.6328125" defaultRowHeight="14.5" x14ac:dyDescent="0.35"/>
  <cols>
    <col min="1" max="1" width="3" customWidth="1"/>
    <col min="2" max="2" width="5" customWidth="1"/>
    <col min="3" max="3" width="34" customWidth="1"/>
    <col min="4" max="4" width="74" customWidth="1"/>
  </cols>
  <sheetData>
    <row r="2" spans="2:4" ht="19.5" customHeight="1" x14ac:dyDescent="0.4">
      <c r="B2" s="15" t="s">
        <v>108</v>
      </c>
    </row>
    <row r="3" spans="2:4" x14ac:dyDescent="0.35">
      <c r="B3" s="14"/>
      <c r="C3" s="14"/>
      <c r="D3" s="14"/>
    </row>
    <row r="5" spans="2:4" x14ac:dyDescent="0.35">
      <c r="B5" s="17" t="s">
        <v>109</v>
      </c>
      <c r="C5" s="17" t="s">
        <v>110</v>
      </c>
      <c r="D5" s="17" t="s">
        <v>111</v>
      </c>
    </row>
    <row r="6" spans="2:4" ht="48" customHeight="1" x14ac:dyDescent="0.35">
      <c r="B6" s="50" t="s">
        <v>112</v>
      </c>
      <c r="C6" s="51" t="s">
        <v>113</v>
      </c>
      <c r="D6" s="52" t="s">
        <v>114</v>
      </c>
    </row>
    <row r="7" spans="2:4" ht="36" customHeight="1" x14ac:dyDescent="0.35">
      <c r="B7" s="50" t="s">
        <v>115</v>
      </c>
      <c r="C7" s="51" t="s">
        <v>116</v>
      </c>
      <c r="D7" s="52" t="s">
        <v>117</v>
      </c>
    </row>
    <row r="8" spans="2:4" ht="48" customHeight="1" x14ac:dyDescent="0.35">
      <c r="B8" s="50" t="s">
        <v>118</v>
      </c>
      <c r="C8" s="51" t="s">
        <v>119</v>
      </c>
      <c r="D8" s="52" t="s">
        <v>120</v>
      </c>
    </row>
    <row r="9" spans="2:4" ht="27.75" customHeight="1" x14ac:dyDescent="0.35">
      <c r="B9" s="50" t="s">
        <v>121</v>
      </c>
      <c r="C9" s="51" t="s">
        <v>122</v>
      </c>
      <c r="D9" s="52" t="s">
        <v>123</v>
      </c>
    </row>
    <row r="10" spans="2:4" ht="27.75" customHeight="1" x14ac:dyDescent="0.35">
      <c r="B10" s="50" t="s">
        <v>100</v>
      </c>
      <c r="C10" s="51" t="s">
        <v>124</v>
      </c>
      <c r="D10" s="52" t="s">
        <v>125</v>
      </c>
    </row>
    <row r="11" spans="2:4" ht="60" customHeight="1" x14ac:dyDescent="0.35">
      <c r="B11" s="50" t="s">
        <v>71</v>
      </c>
      <c r="C11" s="51" t="s">
        <v>126</v>
      </c>
      <c r="D11" s="52" t="s">
        <v>127</v>
      </c>
    </row>
    <row r="12" spans="2:4" ht="36" customHeight="1" x14ac:dyDescent="0.35">
      <c r="B12" s="50" t="s">
        <v>44</v>
      </c>
      <c r="C12" s="51" t="s">
        <v>128</v>
      </c>
      <c r="D12" s="52" t="s">
        <v>129</v>
      </c>
    </row>
    <row r="13" spans="2:4" ht="27.75" customHeight="1" x14ac:dyDescent="0.35">
      <c r="B13" s="50" t="s">
        <v>77</v>
      </c>
      <c r="C13" s="51" t="s">
        <v>130</v>
      </c>
      <c r="D13" s="52" t="s">
        <v>131</v>
      </c>
    </row>
    <row r="14" spans="2:4" ht="60" customHeight="1" x14ac:dyDescent="0.35">
      <c r="B14" s="50" t="s">
        <v>85</v>
      </c>
      <c r="C14" s="51" t="s">
        <v>132</v>
      </c>
      <c r="D14" s="52" t="s">
        <v>133</v>
      </c>
    </row>
    <row r="15" spans="2:4" ht="27.75" customHeight="1" x14ac:dyDescent="0.35">
      <c r="B15" s="50" t="s">
        <v>134</v>
      </c>
      <c r="C15" s="51" t="s">
        <v>135</v>
      </c>
      <c r="D15" s="52" t="s">
        <v>136</v>
      </c>
    </row>
    <row r="16" spans="2:4" ht="27.75" customHeight="1" x14ac:dyDescent="0.35">
      <c r="B16" s="50" t="s">
        <v>137</v>
      </c>
      <c r="C16" s="51" t="s">
        <v>138</v>
      </c>
      <c r="D16" s="52" t="s">
        <v>139</v>
      </c>
    </row>
    <row r="17" spans="2:4" ht="48" customHeight="1" x14ac:dyDescent="0.35">
      <c r="B17" s="50" t="s">
        <v>140</v>
      </c>
      <c r="C17" s="51" t="s">
        <v>141</v>
      </c>
      <c r="D17" s="52" t="s">
        <v>142</v>
      </c>
    </row>
    <row r="18" spans="2:4" ht="48" customHeight="1" x14ac:dyDescent="0.35">
      <c r="B18" s="50" t="s">
        <v>143</v>
      </c>
      <c r="C18" s="51" t="s">
        <v>144</v>
      </c>
      <c r="D18" s="52" t="s">
        <v>145</v>
      </c>
    </row>
    <row r="19" spans="2:4" ht="50" x14ac:dyDescent="0.35">
      <c r="B19" s="50" t="s">
        <v>47</v>
      </c>
      <c r="C19" s="51" t="s">
        <v>146</v>
      </c>
      <c r="D19" s="52" t="s">
        <v>147</v>
      </c>
    </row>
  </sheetData>
  <mergeCells count="1">
    <mergeCell ref="B3:D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46</vt:i4>
      </vt:variant>
    </vt:vector>
  </HeadingPairs>
  <TitlesOfParts>
    <vt:vector size="51" baseType="lpstr">
      <vt:lpstr>Results</vt:lpstr>
      <vt:lpstr>Per-patient costs</vt:lpstr>
      <vt:lpstr>BIA – base case</vt:lpstr>
      <vt:lpstr>Scenarios</vt:lpstr>
      <vt:lpstr>Sources</vt:lpstr>
      <vt:lpstr>bc_impact_y1</vt:lpstr>
      <vt:lpstr>bc_impact_y2</vt:lpstr>
      <vt:lpstr>bc_impact_y3</vt:lpstr>
      <vt:lpstr>bc_impact_y4</vt:lpstr>
      <vt:lpstr>bc_impact_y5</vt:lpstr>
      <vt:lpstr>bc_patcomp_y1</vt:lpstr>
      <vt:lpstr>bc_patcomp_y2</vt:lpstr>
      <vt:lpstr>bc_patcomp_y3</vt:lpstr>
      <vt:lpstr>bc_patcomp_y4</vt:lpstr>
      <vt:lpstr>bc_patcomp_y5</vt:lpstr>
      <vt:lpstr>bc_patinav_y1</vt:lpstr>
      <vt:lpstr>bc_patinav_y2</vt:lpstr>
      <vt:lpstr>bc_patinav_y3</vt:lpstr>
      <vt:lpstr>bc_patinav_y4</vt:lpstr>
      <vt:lpstr>bc_patinav_y5</vt:lpstr>
      <vt:lpstr>bc_uptake_y1</vt:lpstr>
      <vt:lpstr>bc_uptake_y2</vt:lpstr>
      <vt:lpstr>bc_uptake_y3</vt:lpstr>
      <vt:lpstr>bc_uptake_y4</vt:lpstr>
      <vt:lpstr>bc_uptake_y5</vt:lpstr>
      <vt:lpstr>bc_withlist_y1</vt:lpstr>
      <vt:lpstr>bc_withlist_y2</vt:lpstr>
      <vt:lpstr>bc_withlist_y3</vt:lpstr>
      <vt:lpstr>bc_withlist_y4</vt:lpstr>
      <vt:lpstr>bc_withlist_y5</vt:lpstr>
      <vt:lpstr>bc_without_y1</vt:lpstr>
      <vt:lpstr>bc_without_y2</vt:lpstr>
      <vt:lpstr>bc_without_y3</vt:lpstr>
      <vt:lpstr>bc_without_y4</vt:lpstr>
      <vt:lpstr>bc_without_y5</vt:lpstr>
      <vt:lpstr>BIA_cumulative_access</vt:lpstr>
      <vt:lpstr>BIA_cumulative_list</vt:lpstr>
      <vt:lpstr>cost_comparator</vt:lpstr>
      <vt:lpstr>cost_inav_access</vt:lpstr>
      <vt:lpstr>cost_inav_list</vt:lpstr>
      <vt:lpstr>inav_list_minus_access</vt:lpstr>
      <vt:lpstr>pop_eligible</vt:lpstr>
      <vt:lpstr>pop_eligible_cell</vt:lpstr>
      <vt:lpstr>price_inav_list</vt:lpstr>
      <vt:lpstr>scen_access</vt:lpstr>
      <vt:lpstr>scen_base</vt:lpstr>
      <vt:lpstr>scen_pop_high</vt:lpstr>
      <vt:lpstr>scen_pop_low</vt:lpstr>
      <vt:lpstr>scen_up_high</vt:lpstr>
      <vt:lpstr>scen_up_low</vt:lpstr>
      <vt:lpstr>time_horizon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Aida van Riel</cp:lastModifiedBy>
  <cp:revision>0</cp:revision>
  <dcterms:created xsi:type="dcterms:W3CDTF">2026-05-31T11:06:43Z</dcterms:created>
  <dcterms:modified xsi:type="dcterms:W3CDTF">2026-06-07T14:47:35Z</dcterms:modified>
  <dc:language>en-US</dc:language>
</cp:coreProperties>
</file>